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6"/>
  </bookViews>
  <sheets>
    <sheet name="Источники1" sheetId="1" r:id="rId1"/>
    <sheet name="Источники (1)" sheetId="2" state="hidden" r:id="rId2"/>
    <sheet name="Источники (2)" sheetId="3" state="hidden" r:id="rId3"/>
    <sheet name="Доходы (2)" sheetId="4" r:id="rId4"/>
    <sheet name="Расходы (3)" sheetId="5" r:id="rId5"/>
    <sheet name="Расходы (4)" sheetId="6" r:id="rId6"/>
    <sheet name="Мун.прогр.(5)" sheetId="7" r:id="rId7"/>
    <sheet name="Межбюджетка(6)" sheetId="8" r:id="rId8"/>
  </sheets>
  <definedNames>
    <definedName name="Excel_BuiltIn_Print_Area_1">#REF!</definedName>
    <definedName name="_xlnm.Print_Titles" localSheetId="4">'Расходы (3)'!$11:$11</definedName>
    <definedName name="_xlnm.Print_Area" localSheetId="3">'Доходы (2)'!$A$1:$E$69</definedName>
    <definedName name="_xlnm.Print_Area" localSheetId="1">'Источники (1)'!$A$1:$E$26</definedName>
    <definedName name="_xlnm.Print_Area" localSheetId="2">'Источники (2)'!$A$1:$D$26</definedName>
    <definedName name="_xlnm.Print_Area" localSheetId="0">'Источники1'!$A$1:$D$29</definedName>
    <definedName name="_xlnm.Print_Area" localSheetId="7">'Межбюджетка(6)'!$A$1:$C$32</definedName>
    <definedName name="_xlnm.Print_Area" localSheetId="6">'Мун.прогр.(5)'!$A$2:$H$90</definedName>
    <definedName name="_xlnm.Print_Area" localSheetId="4">'Расходы (3)'!$A$1:$N$49</definedName>
    <definedName name="_xlnm.Print_Area" localSheetId="5">'Расходы (4)'!$A$1:$H$254</definedName>
  </definedNames>
  <calcPr fullCalcOnLoad="1"/>
</workbook>
</file>

<file path=xl/sharedStrings.xml><?xml version="1.0" encoding="utf-8"?>
<sst xmlns="http://schemas.openxmlformats.org/spreadsheetml/2006/main" count="1305" uniqueCount="474">
  <si>
    <t>ДОХОДЫ 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</si>
  <si>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</si>
  <si>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</si>
  <si>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</si>
  <si>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</si>
  <si>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</si>
  <si>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</si>
  <si>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</si>
  <si>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</si>
  <si>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</si>
  <si>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</si>
  <si>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</si>
  <si>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Наименование дохода</t>
  </si>
  <si>
    <t>ВСЕГО РАСХОДОВ</t>
  </si>
  <si>
    <t>Физическая культура</t>
  </si>
  <si>
    <t>ФИЗИЧЕСКАЯ КУЛЬТУРА И СПОРТ</t>
  </si>
  <si>
    <t>Пенсионное обеспечение</t>
  </si>
  <si>
    <t>СОЦИАЛЬНАЯ ПОЛИТИКА</t>
  </si>
  <si>
    <t>Иные межбюджетные трансферты</t>
  </si>
  <si>
    <t>Молодежная политика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</si>
  <si>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</si>
  <si>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</si>
  <si>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</si>
  <si>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</si>
  <si>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07</t>
  </si>
  <si>
    <t>Дорожное хозяйство (дорожные фонды)</t>
  </si>
  <si>
    <t>НАЦИОНАЛЬНАЯ ЭКОНОМИКА</t>
  </si>
  <si>
    <t>Обеспечение пожарной безопасности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</si>
  <si>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</si>
  <si>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</si>
  <si>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</si>
  <si>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4</t>
  </si>
  <si>
    <t>Другие общегосударственные вопросы</t>
  </si>
  <si>
    <t>Резервные фонды</t>
  </si>
  <si>
    <t>Обеспечение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</si>
  <si>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</si>
  <si>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</si>
  <si>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</si>
  <si>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</si>
  <si>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</si>
  <si>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ГРБС</t>
  </si>
  <si>
    <t>(тыс. руб.)</t>
  </si>
  <si>
    <t>Наименование показателя</t>
  </si>
  <si>
    <t>ИСТОЧНИКИ ВНУТРЕННЕГО ФИНАНСИРОВАНИЯ ДЕФИЦИТА  БЮДЖЕТА</t>
  </si>
  <si>
    <t>01  00  00  00  00  0000  000</t>
  </si>
  <si>
    <t>Изменение остатков средств на счетах по учету  средств бюджета</t>
  </si>
  <si>
    <t>01  05  00  00  00  0000  000</t>
  </si>
  <si>
    <t>Увеличение остатков средств бюджетов</t>
  </si>
  <si>
    <t>01  05  00  00  00  0000  500</t>
  </si>
  <si>
    <t>Увеличение прочих остатков средств бюджетов</t>
  </si>
  <si>
    <t>01  05  02  00  00  0000  500</t>
  </si>
  <si>
    <t>Увеличение прочих остатков денежных средств  бюджетов</t>
  </si>
  <si>
    <t>01  05  02  01  00  0000  510</t>
  </si>
  <si>
    <t>Уменьшение остатков средств бюджетов</t>
  </si>
  <si>
    <t>01  05  00  00  00  0000  600</t>
  </si>
  <si>
    <t>Уменьшение прочих остатков средств бюджетов</t>
  </si>
  <si>
    <t>01  05  02  00  00  0000  600</t>
  </si>
  <si>
    <t>Уменьшение прочих остатков денежных средств  бюджетов</t>
  </si>
  <si>
    <t>01  05  02  01  00  0000  610</t>
  </si>
  <si>
    <t>Уменьшение прочих остатков денежных средств  бюджетов сельских поселений</t>
  </si>
  <si>
    <t>01  05  02  01  10  0000  610</t>
  </si>
  <si>
    <t>1 17 0000 00 0000 000</t>
  </si>
  <si>
    <t>ПРОЧИЕ НЕНАЛОГОВЫЕ ДОХОДЫ</t>
  </si>
  <si>
    <t xml:space="preserve">%     Исполнения </t>
  </si>
  <si>
    <t>Коммунальное хозяйство</t>
  </si>
  <si>
    <t>БЕЗВОЗМЕЗДНЫЕ ПОСТУПЛЕНИЯ ОТ ДРУГИХ БЮДЖЕТОВ БЮДЖЕТНОЙ СИСТЕМЫ РОССИЙСКОЙ ФЕДЕРАЦИИ</t>
  </si>
  <si>
    <t>00</t>
  </si>
  <si>
    <t>Фонд оплаты труда государственных (муниципальных) органов</t>
  </si>
  <si>
    <t>Закупка товаров, работ, услуг в сфере информационно-коммуникационных технологий</t>
  </si>
  <si>
    <t>Уплата иных платежей</t>
  </si>
  <si>
    <t>02</t>
  </si>
  <si>
    <t>Поддержка коммунального хозяйства</t>
  </si>
  <si>
    <t>Социальное обеспечение населения</t>
  </si>
  <si>
    <t>тыс. руб.</t>
  </si>
  <si>
    <t>Утверждено</t>
  </si>
  <si>
    <t>от______________ №________</t>
  </si>
  <si>
    <t xml:space="preserve">                                                                                 Утвержено </t>
  </si>
  <si>
    <t xml:space="preserve">                                                                                 от ________ № _____________</t>
  </si>
  <si>
    <t>ДОХОДЫ ОТ ИСПОЛЬЗОВАНИЯ ИМУЩЕСТВА, НАХОДЯЩЕГОСЯ В ГОСУДАРСТВЕННОЙ И МУНИЦИПАЛЬНОЙ СОБСТВЕННОСТИ</t>
  </si>
  <si>
    <t>(тыс. рублей)</t>
  </si>
  <si>
    <t>Администрация сельского поселения Артюшинское</t>
  </si>
  <si>
    <t>1 01 02000 01 0000 110</t>
  </si>
  <si>
    <t>1 03 0000 0 0000 000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</si>
  <si>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</si>
  <si>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</si>
  <si>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</si>
  <si>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</si>
  <si>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</si>
  <si>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поселения</t>
  </si>
  <si>
    <t>1 06 06043 13 0000 110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</si>
  <si>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</si>
  <si>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</si>
  <si>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</si>
  <si>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1 11 00000 00 0000 000</t>
  </si>
  <si>
    <t>1 11 05013 13 0000 120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</si>
  <si>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</si>
  <si>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1 11 09045 13 0000 120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</si>
  <si>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</si>
  <si>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</si>
  <si>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1 14 00000 00 0000 000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</si>
  <si>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</si>
  <si>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</si>
  <si>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</si>
  <si>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1 16 00000 00 0000 000</t>
  </si>
  <si>
    <t>1 14 02053 13 0000 410</t>
  </si>
  <si>
    <t>1 14 06013 13 0000 430</t>
  </si>
  <si>
    <t>1 17 05050 13 0000 180</t>
  </si>
  <si>
    <t>Другие вопросы в области жилищно-коммунального хозяйства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</si>
  <si>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</si>
  <si>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</si>
  <si>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</si>
  <si>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156 01 03 01 00 13 0000 710</t>
  </si>
  <si>
    <t>156 01 03 01 00 13 0000 810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</si>
  <si>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</si>
  <si>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кредитов от других бюджетов бюджетной системы Российской Федерации бюджетами городских поселений в валюте Российской Федерации</t>
  </si>
  <si>
    <t>Итого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</si>
  <si>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</si>
  <si>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от __________ №_____</t>
  </si>
  <si>
    <t>1 11 05075 13 0000 120</t>
  </si>
  <si>
    <t>Доходы от сдачи в аренду имущества, составляющего казну городских поселений (за исключением земельных участков)</t>
  </si>
  <si>
    <t>Обеспечение проведения выборов и референдумов</t>
  </si>
  <si>
    <t>Обслуживание внутреннегогосударственного и муниципального долга</t>
  </si>
  <si>
    <t>Дотации бюджетам городских поселений на поддержку мер по обеспечению сбалансированности бюджетов</t>
  </si>
  <si>
    <t>Прочие неналоговые доходы бюджетов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</si>
  <si>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 комиссариаты</t>
  </si>
  <si>
    <t>1 05 00000 00 0000 000</t>
  </si>
  <si>
    <t>1 05 03010 01 0000 110</t>
  </si>
  <si>
    <t>Единый сельскохозяйственный налог</t>
  </si>
  <si>
    <t>1 17 01050 13 0000 180</t>
  </si>
  <si>
    <t>НАЛОГИ НА СОВОКУПНЫЙ ДОХОД</t>
  </si>
  <si>
    <t>Невыясненные поступления, зачисляемые в бюджеты городских поселений</t>
  </si>
  <si>
    <t>х</t>
  </si>
  <si>
    <t xml:space="preserve">Всего  </t>
  </si>
  <si>
    <t xml:space="preserve">Прочие субсидии бюджетам городских поселений 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</si>
  <si>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</si>
  <si>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со статьями 227, 2271 и 228 Налогового кодекса РФ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</si>
  <si>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предпринимателей, частных нотариусов и других лиц, занимающихся частной практикой,адвокатов, учредивших адвокатские кабинеты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</si>
  <si>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</si>
  <si>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1 01 02010 01 0000 110</t>
  </si>
  <si>
    <t>1 01 02020 01 0000 110</t>
  </si>
  <si>
    <t>1 01 02030 01 0000 110</t>
  </si>
  <si>
    <t>Доходы</t>
  </si>
  <si>
    <t xml:space="preserve">Утвержено </t>
  </si>
  <si>
    <t xml:space="preserve">Источники </t>
  </si>
  <si>
    <t xml:space="preserve">внутреннего финансирования дефицита бюджета муниципального  </t>
  </si>
  <si>
    <t>(приложение 4)</t>
  </si>
  <si>
    <t>от _______________года №_________</t>
  </si>
  <si>
    <t>Раздел</t>
  </si>
  <si>
    <t>Общегосударственные вопросы</t>
  </si>
  <si>
    <t>01</t>
  </si>
  <si>
    <t>Обеспечение деятельности органов местного самоуправления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</si>
  <si>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</si>
  <si>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</si>
  <si>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</si>
  <si>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</si>
  <si>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 xml:space="preserve"> </t>
  </si>
  <si>
    <t>Иные выплаты персоналу государственных (муниципальных) органов, за исключением фонда оплаты труда</t>
  </si>
  <si>
    <t>Пособия, компенсации и иные социальные выплаты гражданам, кроме публичных нормативных обязательств</t>
  </si>
  <si>
    <t>Осуществление переданных полномочий по правовому обеспечению деятельности органов местного самоуправления</t>
  </si>
  <si>
    <t>Осуществление функций в сфере информационных технологий и защиты информации</t>
  </si>
  <si>
    <t>06</t>
  </si>
  <si>
    <t>13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</si>
  <si>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</si>
  <si>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</si>
  <si>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</si>
  <si>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</si>
  <si>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</si>
  <si>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Субсидии бюджетным учреждениям на иные цели</t>
  </si>
  <si>
    <t>Жилищно-коммунальное хозяйство</t>
  </si>
  <si>
    <t>05</t>
  </si>
  <si>
    <t>Расходы на уличное освещение</t>
  </si>
  <si>
    <t>Капитальный ремонт муниципального жилищного фонда</t>
  </si>
  <si>
    <t>Закупка товаров, работ, услуг в целях капитального ремонта государственного (муниципального) имущества</t>
  </si>
  <si>
    <t xml:space="preserve">Образование </t>
  </si>
  <si>
    <t>Социальная политика</t>
  </si>
  <si>
    <t>Доплаты к пенсиям муниципальным служащим</t>
  </si>
  <si>
    <t>Средства массовой информации</t>
  </si>
  <si>
    <t>Обслуживание государственного и муниципального долга</t>
  </si>
  <si>
    <t>Процентные платежи по долговым обязательствам поселений</t>
  </si>
  <si>
    <t>Код бюджетной классификации</t>
  </si>
  <si>
    <t>администратор источника финансирования</t>
  </si>
  <si>
    <t xml:space="preserve">Утверждено </t>
  </si>
  <si>
    <t xml:space="preserve">Исполнено </t>
  </si>
  <si>
    <t xml:space="preserve"> 01 03 01 00 13 0000 710</t>
  </si>
  <si>
    <t xml:space="preserve"> 01 03 01 00 13 0000 810</t>
  </si>
  <si>
    <t>Наименование кода группы, подгруппы, статьи, подстатьи, элемента, вида источников финансирования дефицита бюджета, кода класификации операции сектора государственного управления, относящихся к источникам финансирования дефицитов бюджетов РФ</t>
  </si>
  <si>
    <t xml:space="preserve">Источника финансирования </t>
  </si>
  <si>
    <t xml:space="preserve">образования «Город Белозерск» по кодам классификации источников  </t>
  </si>
  <si>
    <t>(приложение 1)</t>
  </si>
  <si>
    <t>(приложение 2)</t>
  </si>
  <si>
    <t xml:space="preserve">образования «Город Белозерск» по кодам групп,подгрупп, статей,видов источников  </t>
  </si>
  <si>
    <t xml:space="preserve">Наименование кода группы, подгруппы, статьи, подстатьи, элемента, вида источников финансирования дефицита бюджета, кода классификации операции сектора государственного управления, относящихся к источникам финансирования дефицитов бюджетов РФ </t>
  </si>
  <si>
    <t>Исполнено</t>
  </si>
  <si>
    <t>Подраздел</t>
  </si>
  <si>
    <t>РЗ</t>
  </si>
  <si>
    <t>ПР</t>
  </si>
  <si>
    <t>решением Совета города Белозерск</t>
  </si>
  <si>
    <r>
      <t xml:space="preserve">                   </t>
    </r>
    <r>
      <rPr>
        <i/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Наименование </t>
    </r>
  </si>
  <si>
    <t>ИТОГО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</si>
  <si>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</si>
  <si>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Наименование передаваемого полномочи</t>
  </si>
  <si>
    <t xml:space="preserve">решением Совета города Белозерск                                                                                       </t>
  </si>
  <si>
    <t xml:space="preserve">Наименование </t>
  </si>
  <si>
    <t>5</t>
  </si>
  <si>
    <t>25 0 00 00000</t>
  </si>
  <si>
    <t>156</t>
  </si>
  <si>
    <t>Расходы на мероприятия по благоустройству дворовых территорий</t>
  </si>
  <si>
    <t>244</t>
  </si>
  <si>
    <t>1 11 05025 13 0000 120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</si>
  <si>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</si>
  <si>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</si>
  <si>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ПРОЧИЕ БЕЗВОЗМЕЗДНЫЕ ПОСТУПЛЕНИЯ</t>
  </si>
  <si>
    <t>2 07 00000 00 0000 000</t>
  </si>
  <si>
    <t>финансирования дефицита бюджета за 2018 год</t>
  </si>
  <si>
    <t>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за 2018 год</t>
  </si>
  <si>
    <t>в %% к прошлому году</t>
  </si>
  <si>
    <t>Выполнение других обязательств, связанных с содержанием имущества находящегося в казне города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</si>
  <si>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</si>
  <si>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Мероприятия в сфере дорожного хозяйства</t>
  </si>
  <si>
    <t>Осуществление дорожной деятельности в отношении автомобильных дорог общего пользования местного значения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</si>
  <si>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</si>
  <si>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91000S2270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</si>
  <si>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</si>
  <si>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</si>
  <si>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от ________________ № _________</t>
  </si>
  <si>
    <t>(приложение 3)</t>
  </si>
  <si>
    <t>(тыс.руб.)</t>
  </si>
  <si>
    <t xml:space="preserve">                     Код  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</si>
  <si>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</si>
  <si>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Утверждено на год</t>
  </si>
  <si>
    <t>156 01 03 00 00 00 0000 000</t>
  </si>
  <si>
    <t>Бюджетные кредиты от других бюджетов бюджетной системы Российской Федерации в валюте Российской Федерации</t>
  </si>
  <si>
    <t>156 01 05 00 00 00 0000 000</t>
  </si>
  <si>
    <t>Изменение остатков средств на счетах по учету средств бюджета</t>
  </si>
  <si>
    <t>156 01 05 00 00 00 0000 500</t>
  </si>
  <si>
    <t xml:space="preserve">Увеличение остатков средств бюджетов </t>
  </si>
  <si>
    <t>156 01 05 02 00 00 0000 500</t>
  </si>
  <si>
    <t>156 01 05 02 01 00 0000 510</t>
  </si>
  <si>
    <t>Увеличение прочих остатков денежных средств бюджетов</t>
  </si>
  <si>
    <t>156 01 05 02 01 13 0000 510</t>
  </si>
  <si>
    <t xml:space="preserve">Увеличение прочих остатков денежных средств городских бюджетов                                               </t>
  </si>
  <si>
    <t>156 01 05 00 00 00 0000 600</t>
  </si>
  <si>
    <t xml:space="preserve">Уменьшение остатков средств бюджетов           </t>
  </si>
  <si>
    <t>156 01 05 02 00 00 0000 600</t>
  </si>
  <si>
    <t>156 01 05 02 01 00 0000 610</t>
  </si>
  <si>
    <t>Уменьшение прочих остатков денежных средств бюджетов</t>
  </si>
  <si>
    <t>156 01 05 02 01 13 0000 610</t>
  </si>
  <si>
    <t>Уменьшение прочих остатков денежных средств городских бюджетов</t>
  </si>
  <si>
    <t xml:space="preserve">     ИТОГО</t>
  </si>
  <si>
    <t xml:space="preserve">                                                                                 (приложение 2)</t>
  </si>
  <si>
    <t>(Приложение 4)</t>
  </si>
  <si>
    <t>(приложение 6)</t>
  </si>
  <si>
    <t>Источники внутреннего финансирования дефицита бюджета</t>
  </si>
  <si>
    <t xml:space="preserve">по разделам, подразделам, классификации расходов бюджета </t>
  </si>
  <si>
    <t xml:space="preserve">                                                                                      в ведомственной структуре расходов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</si>
  <si>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</si>
  <si>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Осуществление переданных полномочий в области внешнего финансового контроля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</si>
  <si>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</si>
  <si>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1 13 00000 00 0000 000</t>
  </si>
  <si>
    <t>1 13 02995 13 0000 130</t>
  </si>
  <si>
    <t>ДОХОДЫ ОТ ОКАЗАНИЯ ПЛАТНЫХ УСЛУГ И КОМПЕНСАЦИИ ЗАТРАТ ГОСУДАРСТВА</t>
  </si>
  <si>
    <t>Прочие доходы от компенсации затрат бюджетов городских поселений</t>
  </si>
  <si>
    <t>2 02 15002 13 0000 150</t>
  </si>
  <si>
    <t>2 02 25555 13 0000 150</t>
  </si>
  <si>
    <t>2 02 29999 13 0000 150</t>
  </si>
  <si>
    <t>2 02 35118 13 0000 150</t>
  </si>
  <si>
    <t>2 02 40014 13 0000 150</t>
  </si>
  <si>
    <t>2 07 05020 13 0000 150</t>
  </si>
  <si>
    <t>25 0 F2 00000</t>
  </si>
  <si>
    <t>25 0 F2 55551</t>
  </si>
  <si>
    <t>Прочая закупка товаров, работ и услуг</t>
  </si>
  <si>
    <t>Расходы на обеспечение функций муниципальных органов</t>
  </si>
  <si>
    <t>39 0 00 00000</t>
  </si>
  <si>
    <t>39 0 01 00000</t>
  </si>
  <si>
    <t>39 0 01 20300</t>
  </si>
  <si>
    <t>Муниципальная программа "Комплексное развитие систем коммунальной инфраструктуры в сфере водоснабжения и водоотведения муниципального образования "Город Белозерск" Белозерского муниципального района Вологодской области на 2019-2022 годы"</t>
  </si>
  <si>
    <t>41 0 00 00000</t>
  </si>
  <si>
    <t xml:space="preserve">Строительство, реконструкция и капитальный ремонт централизованных систем водоснабжения и водоотведения </t>
  </si>
  <si>
    <t>Осуществление переданных полномочий по осуществлению внутреннего муниципального финансового контроля и контроля в сфере закупок, 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</si>
  <si>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</si>
  <si>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Исполнение судебных актов Российской Федерации и мировых соглашений по возмещению причиненного вреда</t>
  </si>
  <si>
    <t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t>
  </si>
  <si>
    <t>Осуществление земельного контроля в границах поселения</t>
  </si>
  <si>
    <t>Осуществление полномочий по исполнению бюджета поселения в части ведения бюджетного (бухгалтерского) учета и составления бюджетной (бухгалтерской) отчетности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</si>
  <si>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</si>
  <si>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мер пожарной безопасности</t>
  </si>
  <si>
    <t>Реализация мероприятий проекта "Народный бюджет"</t>
  </si>
  <si>
    <t>39002S1360</t>
  </si>
  <si>
    <t>250F200000</t>
  </si>
  <si>
    <t>250F255551</t>
  </si>
  <si>
    <t>Мероприятия по благоустройству поселения</t>
  </si>
  <si>
    <t>Организация уличного освещения</t>
  </si>
  <si>
    <t>91000S1090</t>
  </si>
  <si>
    <t>Молодежная политика и оздоровление детей</t>
  </si>
  <si>
    <t>Осуществление переданных полномочий по организации и осуществлению мероприятий по работе с детьми и молодежью</t>
  </si>
  <si>
    <t>Выплаты почетным гражданам</t>
  </si>
  <si>
    <t>Обслуживание внутреннего государственного и муниципального долга</t>
  </si>
  <si>
    <t>Обслуживание муниципального долга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</si>
  <si>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</si>
  <si>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2 02 16001 13 0000 150</t>
  </si>
  <si>
    <t>2 02 36900 13 0000 150</t>
  </si>
  <si>
    <t>Единая субвенция бюджетам городских поселений из бюджета  субъекта Российской Федерации</t>
  </si>
  <si>
    <t>2 18 00000 00 0000 000</t>
  </si>
  <si>
    <t>2 18 60010 13 0000 150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</si>
  <si>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</si>
  <si>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</si>
  <si>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</si>
  <si>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</si>
  <si>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</si>
  <si>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2 04 00000 00 0000 000</t>
  </si>
  <si>
    <t>БЕЗВОЗМЕЗДНЫЕ ПОСТУПЛЕНИЯ ОТ НЕГОСУДАРСТВЕННЫХ ОРГАНИЗАЦИЙ В БЮДЖЕТЫ ГОРОДСКИХ ПОСЕЛЕНИЙ</t>
  </si>
  <si>
    <t>2 04 05020 13 0000 150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</si>
  <si>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</si>
  <si>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2 02 45390 13 0000 150</t>
  </si>
  <si>
    <t>Межбюджетные трансферты, передаваемые бюджетам городских поселений на финансовое обеспечение дорожной деятельности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</si>
  <si>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</si>
  <si>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</si>
  <si>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</si>
  <si>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</si>
  <si>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</si>
  <si>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1 16 10123 01 0131 140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</si>
  <si>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</si>
  <si>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1 11 05314 13 0000 120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</si>
  <si>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</si>
  <si>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</si>
  <si>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Единая субвенция бюджетам муниципальных образований области</t>
  </si>
  <si>
    <t>10</t>
  </si>
  <si>
    <t>4900000000</t>
  </si>
  <si>
    <t>Основное мероприятие "Содержание открытых и закрытых пожарных водоемов"</t>
  </si>
  <si>
    <t>4900100000</t>
  </si>
  <si>
    <t xml:space="preserve">Основное мероприятие "Содержание автомобильных дорог общего пользования местного значения и сооружение искусственных сооружений на них" </t>
  </si>
  <si>
    <t>39001S1350</t>
  </si>
  <si>
    <t>Основное мероприятие "Ремонт автодороги западного района г. Белозерска "</t>
  </si>
  <si>
    <t>Основное мероприятие "Разработка проектов организации дорожного движения"</t>
  </si>
  <si>
    <t xml:space="preserve">Основное мероприятие «Ремонт автомобильных дорог» </t>
  </si>
  <si>
    <t>39005S1350</t>
  </si>
  <si>
    <t>Основное мероприятие "Разработка проектно-сметной документации на капитальный ремонт улиц Карла Маркса, проспект Советский"</t>
  </si>
  <si>
    <t>Основное мероприятие "Субсидии юридическому лицу – ООО «Водоканал» на возмещение  недо-полученных доходов  и возмещение фактически  понесенных  затрат  в рамках заключенного концессионного  соглашения"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</si>
  <si>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</si>
  <si>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 xml:space="preserve">Мероприятия в сфере средств массовой информации </t>
  </si>
  <si>
    <t>Муниципальная программа "Формирование современной городской среды на территории муниципального образования "Город Белозерск" на 2018-2024 годы</t>
  </si>
  <si>
    <t>Муниципальная программа "Комплексное развитие систем транспортной инфраструктуры МО "Город Белозерск" Белозерского муниципального районаВологодской области на 2019-2024 годы"</t>
  </si>
  <si>
    <t>41 0 04 00000</t>
  </si>
  <si>
    <t>41 0 04 23090</t>
  </si>
  <si>
    <t>49 0 00 00000</t>
  </si>
  <si>
    <t>49 0 01 00000</t>
  </si>
  <si>
    <t>49 0 01 23010</t>
  </si>
  <si>
    <t>Дотации бюджетам городских поселений на выравнивание бюджетной обеспеченности из бюджетов муниципальных районов</t>
  </si>
  <si>
    <t>Фактически исполнено за 2021 год</t>
  </si>
  <si>
    <t>решением Совета городского</t>
  </si>
  <si>
    <t>поселения "Город Белозерск"</t>
  </si>
  <si>
    <t xml:space="preserve">                                                                                 поселения "Город Белозерск"</t>
  </si>
  <si>
    <t xml:space="preserve">                                                                                 решением Совета городского</t>
  </si>
  <si>
    <t>Исполнено 2021 год</t>
  </si>
  <si>
    <t xml:space="preserve">решением Совета городского                                                                                       </t>
  </si>
  <si>
    <t>Средства, передаваемые районному бюджету из бюджета городского поселения "Город Белозерск" на осуществление части полномочий по решению вопросов местного значения в соответствии с заключенными соглашениями на 2021 год</t>
  </si>
  <si>
    <t>бюджета городского поселения "Город Белозерск" за  2021 год по кодам классификации доходов бюджета (по кодам видов доходов, подвидов доходов, классификации операций сектора государственного управления)</t>
  </si>
  <si>
    <t>Расходы бюджета городского поселения "Город Белозерск" за  2021 год</t>
  </si>
  <si>
    <t>Расходы бюджета городского поселения "Город Белозерск" за  2021 год  по разделам, подразделам, целевым статьям и видам расходов</t>
  </si>
  <si>
    <t>городского поселения "Город Белозерск" за  2021 год</t>
  </si>
  <si>
    <t>Глава муниципального образования</t>
  </si>
  <si>
    <t>Расходы на обеспечение функций органов местного самоуправления</t>
  </si>
  <si>
    <t xml:space="preserve"> Иные выплаты персоналу государственных (муниципальных) органов, за исключением фонда оплаты труда</t>
  </si>
  <si>
    <t>Обеспечение деятельности представительных органов местного самоуправления</t>
  </si>
  <si>
    <t>Расходы на обеспечение функций представительных органов местного самоуправления</t>
  </si>
  <si>
    <t>Расходы на выплаты представительных органов местного самоуправления</t>
  </si>
  <si>
    <t>Прочая закупка товаров, работ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</si>
  <si>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</si>
  <si>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</si>
  <si>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</si>
  <si>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</si>
  <si>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Уплата налогов, сборов и иных платежей</t>
  </si>
  <si>
    <t>Осуществление части полномочий в сфере градостроительного и жилищного законодательства</t>
  </si>
  <si>
    <t>Проведение выборов в представительные органы муниципального образования</t>
  </si>
  <si>
    <t>Иные закупки товаров, работ и услуг для государственных (муниципальных) нужд</t>
  </si>
  <si>
    <t>Резервные фонды местных администраций</t>
  </si>
  <si>
    <t>Реализация  функций,связанных с общегосударственным управлением</t>
  </si>
  <si>
    <t>Исполнение судебных актов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</si>
  <si>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</si>
  <si>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Обеспечение деятельности администрации муниципального образования</t>
  </si>
  <si>
    <t>Осуществление первичного воинского учета на территориях ,где отсутствуют военные комиссариаты</t>
  </si>
  <si>
    <t>Обеспечение деятельности аварийно-спасательной службы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</si>
  <si>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</si>
  <si>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</si>
  <si>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первичных мер пожарной безопасности на территории МО "Город Белозерск" Белозерского муниципального района Вологодской области на 2020-2024 годы"</t>
  </si>
  <si>
    <t>Субсидии бюджетным учреждениям</t>
  </si>
  <si>
    <t>Основное мероприятие "Обустройство пожарных водоемов"</t>
  </si>
  <si>
    <t>4900200000</t>
  </si>
  <si>
    <t>49002S2270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</si>
  <si>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</si>
  <si>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91000S1360</t>
  </si>
  <si>
    <t>Основное мероприятие "Разработка  документации"</t>
  </si>
  <si>
    <t>Другие вопросы в области национальной экономики</t>
  </si>
  <si>
    <t>12</t>
  </si>
  <si>
    <t xml:space="preserve">Благоустройство объектов туристической индустрии </t>
  </si>
  <si>
    <t>Мероприятия в сфере жилищно-коммунального хозяйства</t>
  </si>
  <si>
    <t>Поддержка жилищного хозяйства</t>
  </si>
  <si>
    <t>Капитальный ремонт очистных сооружений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</si>
  <si>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</si>
  <si>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"Устройство сетей водопровода и канализации для МКД"</t>
  </si>
  <si>
    <t>Бюджетные инвестиции</t>
  </si>
  <si>
    <t>Основное мероприятие "Реализация регионального проекта "Чистая вода"</t>
  </si>
  <si>
    <t>410F500000</t>
  </si>
  <si>
    <t>Строительство и реконструкция (модернизация) объектов питьевого водоснабжения</t>
  </si>
  <si>
    <t>410F552430</t>
  </si>
  <si>
    <t>Расходы на мероприятия по подготовке к реконструкции объектов питьевого водоснабжения</t>
  </si>
  <si>
    <t>Основное мероприятие "Реализация регионального проекта "Формирование комфортной городской среды"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</si>
  <si>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</si>
  <si>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250F254240</t>
  </si>
  <si>
    <t>Реализация мероприятий по цифровизации городского хозяйства</t>
  </si>
  <si>
    <t>250F255553</t>
  </si>
  <si>
    <t>Основное мероприятие "Благоустройство дворовых территорий"</t>
  </si>
  <si>
    <t>Мероприятия по благоустройству дворовых территорий</t>
  </si>
  <si>
    <t>Основное мероприятие "Реализация проекта "Моя Белозерская Набережная"</t>
  </si>
  <si>
    <t>Основное мероприятие "Благоустройство парка культуры и отдыха"</t>
  </si>
  <si>
    <t>Мероприятия по подготовке работ по благоустройству парка культуры и отдыха</t>
  </si>
  <si>
    <t>Благоустройство объектов туристической индустрии</t>
  </si>
  <si>
    <t>25008S1780</t>
  </si>
  <si>
    <t>91000S1780</t>
  </si>
  <si>
    <t>Обустройство систем уличного освещения</t>
  </si>
  <si>
    <t>91000S3350</t>
  </si>
  <si>
    <t>Возмещение средств физическим лицам за понесенные ими расходы в части содержания муниципального жилого фонда</t>
  </si>
  <si>
    <t>Культура, кинематография</t>
  </si>
  <si>
    <t>08</t>
  </si>
  <si>
    <t>Другие вопросы в области культуры, кинематографии</t>
  </si>
  <si>
    <t>Иные выплаты населению</t>
  </si>
  <si>
    <t>Другие вопросы в области социальной политики</t>
  </si>
  <si>
    <t>Осуществление мероприятий по приспособлению жилого помещения и общего имущества в многоквартирном доме с учетом потребностей инвалидов</t>
  </si>
  <si>
    <t>91000S1750</t>
  </si>
  <si>
    <t>Физическая культура и спорт</t>
  </si>
  <si>
    <t>Обеспечение условий для развития на территории поселения физической культуры и массового спорта, организация проведения  официальных физкультурно-оздоровительных и спортивных мероприятий поселения</t>
  </si>
  <si>
    <t>осуществление полномочий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 оздоровительных и спортивных мероприятий поселения</t>
  </si>
  <si>
    <t>11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</si>
  <si>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</si>
  <si>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</si>
  <si>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Субсидии бюджетам городских поселений на строительство и реконструкцию (модернизацию) объектов питьевого водоснабжения</t>
  </si>
  <si>
    <t xml:space="preserve"> 2 02 25243 13 0000 150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</si>
  <si>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</si>
  <si>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2 02 45424 13 0000 150</t>
  </si>
  <si>
    <t>2 19 25555 13 0000 150</t>
  </si>
  <si>
    <t>Исполнено 2020год</t>
  </si>
  <si>
    <t>КУЛЬТУРА, КИНЕМАТОГРАФИЯ</t>
  </si>
  <si>
    <t>Администрация городского поселения "Город Белозерск"</t>
  </si>
  <si>
    <t>Расходы муниципальных целевых  программ, финансируемых из бюджета городского поселения "Город Белозерск"  в 2021 году</t>
  </si>
  <si>
    <t>Муниципальная программа "Комплексное развитие систем транспортной инфраструктуры городского поселения "Город Белозерск" Белозерского муниципального района Вологодской области на 2019-2024 годы"</t>
  </si>
  <si>
    <t>Муниципальная программа "Обеспечение первичных мер пожарной безопасности на территории городского поселения "Город Белозерск" Белозерского муниципального района Вологодской области на 2020-2024 годы"</t>
  </si>
  <si>
    <t>Муниципальная программа "Комплексное развитие систем коммунальной инфраструктуры в сфере водоснабжения и водоотведения городского поселения "Город Белозерск" Белозерского муниципального района Вологодской области на 2019-2022 годы"</t>
  </si>
  <si>
    <t>25 0 04 00000</t>
  </si>
  <si>
    <t>25 0 04 00190</t>
  </si>
  <si>
    <t>240</t>
  </si>
  <si>
    <t>25 0 04 25551</t>
  </si>
  <si>
    <t>25 0 07 00000</t>
  </si>
  <si>
    <t>25 0 07 23050</t>
  </si>
  <si>
    <t>25 0 08 00000</t>
  </si>
  <si>
    <t>25 0 08 21780</t>
  </si>
  <si>
    <t>25 0 08 S1780</t>
  </si>
  <si>
    <t>25 0 F2 54240</t>
  </si>
  <si>
    <t>25 0 F2 55553</t>
  </si>
  <si>
    <t>25 0 F2 55554</t>
  </si>
  <si>
    <t>Основное мероприятие "Разработка документации "</t>
  </si>
  <si>
    <t>Основное мероприятие "Капитальный ремонт водопроводных очистных сооружений г.Белозерск Белозерского района Вологодской области</t>
  </si>
  <si>
    <t>41 0 01 00000</t>
  </si>
  <si>
    <t>41 0 01 S3040</t>
  </si>
  <si>
    <t>41 0 06 00000</t>
  </si>
  <si>
    <t>41 0 06 23090</t>
  </si>
  <si>
    <t>41 0 F5 00000</t>
  </si>
  <si>
    <t>41 0 F5 52430</t>
  </si>
  <si>
    <t>41 0 05 52430</t>
  </si>
  <si>
    <t>49 0 02 00000</t>
  </si>
  <si>
    <t>49 0 02 23010</t>
  </si>
  <si>
    <t>49 0 02 S2270</t>
  </si>
  <si>
    <t>Муниципальная программа "Формирование современной городской среды на территории городского поселения "Город Белозерск" на 2018-2024 годы</t>
  </si>
  <si>
    <t>(приложение 5)</t>
  </si>
  <si>
    <t>от _______________года №_______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</si>
</sst>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00"/>
    <numFmt numFmtId="179" formatCode="00"/>
    <numFmt numFmtId="180" formatCode="&quot;&quot;###,##0.00"/>
    <numFmt numFmtId="181" formatCode="000\.0\.00\.00000\.00\.0000\.000"/>
  </numFmts>
  <fonts count="83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1"/>
      <name val="Times New Roman"/>
      <family val="1"/>
    </font>
    <font>
      <sz val="11"/>
      <name val="Arial"/>
      <family val="2"/>
    </font>
    <font>
      <b/>
      <i/>
      <sz val="10"/>
      <name val="Times New Roman"/>
      <family val="1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63" fillId="0" borderId="0" applyNumberFormat="0" applyFill="0" applyBorder="0" applyAlignment="0" applyProtection="0"/>
    <xf numFmtId="0" fontId="9" fillId="0" borderId="3" applyNumberFormat="0">
      <alignment horizontal="right" vertical="top"/>
      <protection/>
    </xf>
    <xf numFmtId="0" fontId="9" fillId="0" borderId="3" applyNumberFormat="0">
      <alignment horizontal="right" vertical="top"/>
      <protection/>
    </xf>
    <xf numFmtId="0" fontId="9" fillId="27" borderId="3" applyNumberFormat="0">
      <alignment horizontal="right" vertical="top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9" fontId="9" fillId="28" borderId="3">
      <alignment horizontal="left" vertical="top"/>
      <protection/>
    </xf>
    <xf numFmtId="49" fontId="10" fillId="0" borderId="3">
      <alignment horizontal="left" vertical="top"/>
      <protection/>
    </xf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9" fillId="29" borderId="3">
      <alignment horizontal="left" vertical="top" wrapText="1"/>
      <protection/>
    </xf>
    <xf numFmtId="0" fontId="10" fillId="0" borderId="3">
      <alignment horizontal="left" vertical="top" wrapText="1"/>
      <protection/>
    </xf>
    <xf numFmtId="0" fontId="9" fillId="2" borderId="3">
      <alignment horizontal="left" vertical="top" wrapText="1"/>
      <protection/>
    </xf>
    <xf numFmtId="0" fontId="9" fillId="30" borderId="3">
      <alignment horizontal="left" vertical="top" wrapText="1"/>
      <protection/>
    </xf>
    <xf numFmtId="0" fontId="9" fillId="31" borderId="3">
      <alignment horizontal="left" vertical="top" wrapText="1"/>
      <protection/>
    </xf>
    <xf numFmtId="0" fontId="9" fillId="32" borderId="3">
      <alignment horizontal="left" vertical="top" wrapText="1"/>
      <protection/>
    </xf>
    <xf numFmtId="0" fontId="9" fillId="0" borderId="3">
      <alignment horizontal="left" vertical="top" wrapText="1"/>
      <protection/>
    </xf>
    <xf numFmtId="0" fontId="11" fillId="0" borderId="0">
      <alignment horizontal="left" vertical="top"/>
      <protection/>
    </xf>
    <xf numFmtId="0" fontId="67" fillId="0" borderId="7" applyNumberFormat="0" applyFill="0" applyAlignment="0" applyProtection="0"/>
    <xf numFmtId="0" fontId="68" fillId="33" borderId="8" applyNumberFormat="0" applyAlignment="0" applyProtection="0"/>
    <xf numFmtId="0" fontId="69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9" fillId="29" borderId="9" applyNumberFormat="0">
      <alignment horizontal="right" vertical="top"/>
      <protection/>
    </xf>
    <xf numFmtId="0" fontId="9" fillId="2" borderId="9" applyNumberFormat="0">
      <alignment horizontal="right" vertical="top"/>
      <protection/>
    </xf>
    <xf numFmtId="0" fontId="9" fillId="0" borderId="3" applyNumberFormat="0">
      <alignment horizontal="right" vertical="top"/>
      <protection/>
    </xf>
    <xf numFmtId="0" fontId="9" fillId="0" borderId="3" applyNumberFormat="0">
      <alignment horizontal="right" vertical="top"/>
      <protection/>
    </xf>
    <xf numFmtId="0" fontId="9" fillId="30" borderId="9" applyNumberFormat="0">
      <alignment horizontal="right" vertical="top"/>
      <protection/>
    </xf>
    <xf numFmtId="0" fontId="9" fillId="0" borderId="3" applyNumberFormat="0">
      <alignment horizontal="right" vertical="top"/>
      <protection/>
    </xf>
    <xf numFmtId="0" fontId="72" fillId="0" borderId="0" applyNumberFormat="0" applyFill="0" applyBorder="0" applyAlignment="0" applyProtection="0"/>
    <xf numFmtId="0" fontId="73" fillId="35" borderId="0" applyNumberFormat="0" applyBorder="0" applyAlignment="0" applyProtection="0"/>
    <xf numFmtId="0" fontId="74" fillId="0" borderId="0" applyNumberFormat="0" applyFill="0" applyBorder="0" applyAlignment="0" applyProtection="0"/>
    <xf numFmtId="0" fontId="1" fillId="36" borderId="10" applyNumberFormat="0" applyFont="0" applyAlignment="0" applyProtection="0"/>
    <xf numFmtId="9" fontId="1" fillId="0" borderId="0" applyFont="0" applyFill="0" applyBorder="0" applyAlignment="0" applyProtection="0"/>
    <xf numFmtId="49" fontId="12" fillId="37" borderId="3">
      <alignment horizontal="left" vertical="top" wrapText="1"/>
      <protection/>
    </xf>
    <xf numFmtId="49" fontId="9" fillId="0" borderId="3">
      <alignment horizontal="left" vertical="top" wrapText="1"/>
      <protection/>
    </xf>
    <xf numFmtId="0" fontId="75" fillId="0" borderId="11" applyNumberFormat="0" applyFill="0" applyAlignment="0" applyProtection="0"/>
    <xf numFmtId="0" fontId="7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7" fillId="38" borderId="0" applyNumberFormat="0" applyBorder="0" applyAlignment="0" applyProtection="0"/>
    <xf numFmtId="0" fontId="9" fillId="32" borderId="3">
      <alignment horizontal="left" vertical="top" wrapText="1"/>
      <protection/>
    </xf>
    <xf numFmtId="0" fontId="9" fillId="0" borderId="3">
      <alignment horizontal="left" vertical="top" wrapText="1"/>
      <protection/>
    </xf>
  </cellStyleXfs>
  <cellXfs count="399"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0" fillId="0" borderId="12" xfId="0" applyFont="1" applyBorder="1" applyAlignment="1">
      <alignment horizontal="center" vertical="top" wrapText="1"/>
    </xf>
    <xf numFmtId="0" fontId="16" fillId="39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1" fillId="0" borderId="0" xfId="0" applyFont="1" applyAlignment="1">
      <alignment horizontal="right"/>
    </xf>
    <xf numFmtId="0" fontId="20" fillId="39" borderId="12" xfId="0" applyFont="1" applyFill="1" applyBorder="1" applyAlignment="1">
      <alignment horizontal="center" vertical="center" wrapText="1"/>
    </xf>
    <xf numFmtId="0" fontId="22" fillId="39" borderId="0" xfId="0" applyFont="1" applyFill="1" applyAlignment="1">
      <alignment/>
    </xf>
    <xf numFmtId="0" fontId="19" fillId="39" borderId="0" xfId="0" applyFont="1" applyFill="1" applyAlignment="1">
      <alignment/>
    </xf>
    <xf numFmtId="0" fontId="16" fillId="39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39" borderId="12" xfId="0" applyFont="1" applyFill="1" applyBorder="1" applyAlignment="1">
      <alignment horizontal="left" vertical="center" wrapText="1"/>
    </xf>
    <xf numFmtId="0" fontId="16" fillId="39" borderId="12" xfId="0" applyFont="1" applyFill="1" applyBorder="1" applyAlignment="1">
      <alignment horizontal="left" vertical="center" wrapText="1"/>
    </xf>
    <xf numFmtId="0" fontId="16" fillId="39" borderId="12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3" fillId="0" borderId="0" xfId="66" applyFont="1" applyAlignment="1">
      <alignment/>
      <protection/>
    </xf>
    <xf numFmtId="176" fontId="20" fillId="40" borderId="12" xfId="0" applyNumberFormat="1" applyFont="1" applyFill="1" applyBorder="1" applyAlignment="1">
      <alignment horizontal="center" vertical="top" wrapText="1"/>
    </xf>
    <xf numFmtId="176" fontId="20" fillId="40" borderId="12" xfId="0" applyNumberFormat="1" applyFont="1" applyFill="1" applyBorder="1" applyAlignment="1">
      <alignment horizontal="center" vertical="center" wrapText="1"/>
    </xf>
    <xf numFmtId="176" fontId="16" fillId="40" borderId="12" xfId="0" applyNumberFormat="1" applyFont="1" applyFill="1" applyBorder="1" applyAlignment="1">
      <alignment horizontal="center" vertical="center" wrapText="1"/>
    </xf>
    <xf numFmtId="0" fontId="2" fillId="0" borderId="0" xfId="66" applyFont="1">
      <alignment/>
      <protection/>
    </xf>
    <xf numFmtId="0" fontId="2" fillId="0" borderId="0" xfId="66">
      <alignment/>
      <protection/>
    </xf>
    <xf numFmtId="0" fontId="8" fillId="0" borderId="0" xfId="66" applyFont="1">
      <alignment/>
      <protection/>
    </xf>
    <xf numFmtId="0" fontId="15" fillId="0" borderId="0" xfId="66" applyFont="1" applyFill="1" applyProtection="1">
      <alignment/>
      <protection hidden="1"/>
    </xf>
    <xf numFmtId="49" fontId="15" fillId="0" borderId="0" xfId="66" applyNumberFormat="1" applyFont="1" applyFill="1" applyProtection="1">
      <alignment/>
      <protection hidden="1"/>
    </xf>
    <xf numFmtId="49" fontId="15" fillId="0" borderId="0" xfId="66" applyNumberFormat="1" applyFont="1" applyFill="1" applyBorder="1" applyProtection="1">
      <alignment/>
      <protection hidden="1"/>
    </xf>
    <xf numFmtId="0" fontId="15" fillId="0" borderId="0" xfId="66" applyFont="1" applyFill="1" applyBorder="1" applyProtection="1">
      <alignment/>
      <protection hidden="1"/>
    </xf>
    <xf numFmtId="0" fontId="6" fillId="0" borderId="0" xfId="66" applyFont="1">
      <alignment/>
      <protection/>
    </xf>
    <xf numFmtId="0" fontId="4" fillId="0" borderId="0" xfId="66" applyFont="1">
      <alignment/>
      <protection/>
    </xf>
    <xf numFmtId="0" fontId="6" fillId="0" borderId="0" xfId="66" applyFont="1" applyFill="1">
      <alignment/>
      <protection/>
    </xf>
    <xf numFmtId="0" fontId="4" fillId="0" borderId="0" xfId="66" applyFont="1" applyFill="1">
      <alignment/>
      <protection/>
    </xf>
    <xf numFmtId="0" fontId="5" fillId="0" borderId="0" xfId="66" applyFont="1">
      <alignment/>
      <protection/>
    </xf>
    <xf numFmtId="0" fontId="2" fillId="0" borderId="0" xfId="66" applyFill="1">
      <alignment/>
      <protection/>
    </xf>
    <xf numFmtId="0" fontId="7" fillId="0" borderId="0" xfId="66" applyFont="1">
      <alignment/>
      <protection/>
    </xf>
    <xf numFmtId="0" fontId="3" fillId="0" borderId="0" xfId="66" applyFont="1">
      <alignment/>
      <protection/>
    </xf>
    <xf numFmtId="0" fontId="2" fillId="39" borderId="0" xfId="66" applyFont="1" applyFill="1">
      <alignment/>
      <protection/>
    </xf>
    <xf numFmtId="49" fontId="2" fillId="39" borderId="0" xfId="66" applyNumberFormat="1" applyFont="1" applyFill="1">
      <alignment/>
      <protection/>
    </xf>
    <xf numFmtId="0" fontId="2" fillId="39" borderId="0" xfId="66" applyFont="1" applyFill="1" applyBorder="1">
      <alignment/>
      <protection/>
    </xf>
    <xf numFmtId="49" fontId="2" fillId="0" borderId="0" xfId="66" applyNumberFormat="1" applyFont="1">
      <alignment/>
      <protection/>
    </xf>
    <xf numFmtId="0" fontId="2" fillId="0" borderId="0" xfId="66" applyFont="1" applyBorder="1">
      <alignment/>
      <protection/>
    </xf>
    <xf numFmtId="0" fontId="2" fillId="0" borderId="0" xfId="66" applyFont="1" applyFill="1" applyBorder="1">
      <alignment/>
      <protection/>
    </xf>
    <xf numFmtId="0" fontId="13" fillId="39" borderId="12" xfId="66" applyNumberFormat="1" applyFont="1" applyFill="1" applyBorder="1" applyAlignment="1" applyProtection="1">
      <alignment horizontal="center" vertical="center" wrapText="1"/>
      <protection hidden="1"/>
    </xf>
    <xf numFmtId="0" fontId="13" fillId="39" borderId="12" xfId="66" applyFont="1" applyFill="1" applyBorder="1" applyAlignment="1">
      <alignment horizontal="center" vertical="center"/>
      <protection/>
    </xf>
    <xf numFmtId="0" fontId="13" fillId="39" borderId="12" xfId="66" applyNumberFormat="1" applyFont="1" applyFill="1" applyBorder="1" applyAlignment="1" applyProtection="1">
      <alignment horizontal="center" wrapText="1"/>
      <protection hidden="1"/>
    </xf>
    <xf numFmtId="0" fontId="13" fillId="39" borderId="12" xfId="66" applyFont="1" applyFill="1" applyBorder="1" applyAlignment="1">
      <alignment horizontal="center"/>
      <protection/>
    </xf>
    <xf numFmtId="0" fontId="14" fillId="39" borderId="12" xfId="66" applyFont="1" applyFill="1" applyBorder="1" applyAlignment="1">
      <alignment horizontal="center"/>
      <protection/>
    </xf>
    <xf numFmtId="0" fontId="14" fillId="39" borderId="12" xfId="66" applyFont="1" applyFill="1" applyBorder="1" applyAlignment="1">
      <alignment horizontal="center" vertical="center"/>
      <protection/>
    </xf>
    <xf numFmtId="49" fontId="14" fillId="39" borderId="12" xfId="66" applyNumberFormat="1" applyFont="1" applyFill="1" applyBorder="1" applyAlignment="1">
      <alignment horizontal="center" vertical="center"/>
      <protection/>
    </xf>
    <xf numFmtId="0" fontId="14" fillId="39" borderId="12" xfId="66" applyFont="1" applyFill="1" applyBorder="1" applyAlignment="1">
      <alignment vertical="top" wrapText="1"/>
      <protection/>
    </xf>
    <xf numFmtId="179" fontId="14" fillId="39" borderId="12" xfId="66" applyNumberFormat="1" applyFont="1" applyFill="1" applyBorder="1" applyAlignment="1" applyProtection="1">
      <alignment horizontal="center" vertical="center"/>
      <protection hidden="1"/>
    </xf>
    <xf numFmtId="49" fontId="14" fillId="39" borderId="12" xfId="66" applyNumberFormat="1" applyFont="1" applyFill="1" applyBorder="1" applyAlignment="1" applyProtection="1">
      <alignment horizontal="center" vertical="center"/>
      <protection hidden="1"/>
    </xf>
    <xf numFmtId="178" fontId="14" fillId="39" borderId="12" xfId="66" applyNumberFormat="1" applyFont="1" applyFill="1" applyBorder="1" applyAlignment="1" applyProtection="1">
      <alignment horizontal="center" vertical="center"/>
      <protection hidden="1"/>
    </xf>
    <xf numFmtId="0" fontId="13" fillId="39" borderId="12" xfId="66" applyFont="1" applyFill="1" applyBorder="1" applyAlignment="1">
      <alignment horizontal="left" vertical="top" wrapText="1"/>
      <protection/>
    </xf>
    <xf numFmtId="179" fontId="13" fillId="39" borderId="12" xfId="66" applyNumberFormat="1" applyFont="1" applyFill="1" applyBorder="1" applyAlignment="1" applyProtection="1">
      <alignment horizontal="center" vertical="center"/>
      <protection hidden="1"/>
    </xf>
    <xf numFmtId="49" fontId="13" fillId="39" borderId="12" xfId="66" applyNumberFormat="1" applyFont="1" applyFill="1" applyBorder="1" applyAlignment="1" applyProtection="1">
      <alignment horizontal="center" vertical="center"/>
      <protection hidden="1"/>
    </xf>
    <xf numFmtId="178" fontId="13" fillId="39" borderId="12" xfId="66" applyNumberFormat="1" applyFont="1" applyFill="1" applyBorder="1" applyAlignment="1" applyProtection="1">
      <alignment horizontal="center" vertical="center"/>
      <protection hidden="1"/>
    </xf>
    <xf numFmtId="0" fontId="13" fillId="39" borderId="12" xfId="66" applyNumberFormat="1" applyFont="1" applyFill="1" applyBorder="1" applyAlignment="1" applyProtection="1">
      <alignment horizontal="center" vertical="center"/>
      <protection hidden="1"/>
    </xf>
    <xf numFmtId="0" fontId="13" fillId="39" borderId="12" xfId="66" applyFont="1" applyFill="1" applyBorder="1" applyAlignment="1">
      <alignment horizontal="left" wrapText="1"/>
      <protection/>
    </xf>
    <xf numFmtId="0" fontId="13" fillId="39" borderId="12" xfId="66" applyFont="1" applyFill="1" applyBorder="1" applyAlignment="1">
      <alignment horizontal="justify" vertical="center" wrapText="1"/>
      <protection/>
    </xf>
    <xf numFmtId="0" fontId="14" fillId="39" borderId="12" xfId="66" applyFont="1" applyFill="1" applyBorder="1" applyAlignment="1">
      <alignment horizontal="left" vertical="top" wrapText="1"/>
      <protection/>
    </xf>
    <xf numFmtId="0" fontId="16" fillId="39" borderId="12" xfId="0" applyFont="1" applyFill="1" applyBorder="1" applyAlignment="1">
      <alignment horizontal="center" vertical="center" wrapText="1"/>
    </xf>
    <xf numFmtId="0" fontId="16" fillId="39" borderId="12" xfId="0" applyNumberFormat="1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3" fillId="39" borderId="12" xfId="66" applyNumberFormat="1" applyFont="1" applyFill="1" applyBorder="1" applyAlignment="1" applyProtection="1">
      <alignment horizontal="left" wrapText="1"/>
      <protection hidden="1"/>
    </xf>
    <xf numFmtId="0" fontId="14" fillId="39" borderId="12" xfId="66" applyFont="1" applyFill="1" applyBorder="1" applyAlignment="1">
      <alignment horizontal="left" wrapText="1"/>
      <protection/>
    </xf>
    <xf numFmtId="0" fontId="16" fillId="0" borderId="12" xfId="0" applyFont="1" applyBorder="1" applyAlignment="1">
      <alignment horizontal="left" vertical="center" wrapText="1"/>
    </xf>
    <xf numFmtId="0" fontId="16" fillId="39" borderId="12" xfId="0" applyFont="1" applyFill="1" applyBorder="1" applyAlignment="1">
      <alignment horizontal="left" vertical="center" wrapText="1"/>
    </xf>
    <xf numFmtId="177" fontId="20" fillId="41" borderId="12" xfId="0" applyNumberFormat="1" applyFont="1" applyFill="1" applyBorder="1" applyAlignment="1">
      <alignment horizontal="center" vertical="top" wrapText="1"/>
    </xf>
    <xf numFmtId="177" fontId="20" fillId="41" borderId="12" xfId="0" applyNumberFormat="1" applyFont="1" applyFill="1" applyBorder="1" applyAlignment="1">
      <alignment horizontal="center" vertical="center" wrapText="1"/>
    </xf>
    <xf numFmtId="177" fontId="16" fillId="41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176" fontId="14" fillId="0" borderId="1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4" fillId="39" borderId="12" xfId="66" applyNumberFormat="1" applyFont="1" applyFill="1" applyBorder="1" applyAlignment="1" applyProtection="1">
      <alignment horizontal="center" vertical="top" wrapText="1"/>
      <protection hidden="1"/>
    </xf>
    <xf numFmtId="0" fontId="67" fillId="0" borderId="12" xfId="0" applyFont="1" applyBorder="1" applyAlignment="1">
      <alignment wrapText="1"/>
    </xf>
    <xf numFmtId="0" fontId="0" fillId="0" borderId="0" xfId="0" applyAlignment="1">
      <alignment vertical="center"/>
    </xf>
    <xf numFmtId="0" fontId="14" fillId="39" borderId="12" xfId="66" applyNumberFormat="1" applyFont="1" applyFill="1" applyBorder="1" applyAlignment="1" applyProtection="1">
      <alignment horizontal="center" vertical="center" wrapText="1"/>
      <protection hidden="1"/>
    </xf>
    <xf numFmtId="0" fontId="25" fillId="0" borderId="12" xfId="66" applyFont="1" applyBorder="1" applyAlignment="1">
      <alignment vertical="top" wrapText="1"/>
      <protection/>
    </xf>
    <xf numFmtId="0" fontId="14" fillId="0" borderId="12" xfId="66" applyFont="1" applyBorder="1" applyAlignment="1">
      <alignment vertical="top" wrapText="1"/>
      <protection/>
    </xf>
    <xf numFmtId="0" fontId="14" fillId="0" borderId="12" xfId="66" applyFont="1" applyBorder="1" applyAlignment="1">
      <alignment horizontal="center" vertical="top" wrapText="1"/>
      <protection/>
    </xf>
    <xf numFmtId="0" fontId="29" fillId="0" borderId="0" xfId="66" applyFont="1">
      <alignment/>
      <protection/>
    </xf>
    <xf numFmtId="0" fontId="24" fillId="0" borderId="0" xfId="66" applyFont="1" applyAlignment="1">
      <alignment/>
      <protection/>
    </xf>
    <xf numFmtId="0" fontId="29" fillId="0" borderId="0" xfId="66" applyFont="1" applyAlignment="1">
      <alignment/>
      <protection/>
    </xf>
    <xf numFmtId="0" fontId="71" fillId="0" borderId="0" xfId="71" applyAlignment="1">
      <alignment horizontal="justify" vertical="top"/>
      <protection/>
    </xf>
    <xf numFmtId="0" fontId="71" fillId="0" borderId="0" xfId="71">
      <alignment/>
      <protection/>
    </xf>
    <xf numFmtId="0" fontId="19" fillId="0" borderId="0" xfId="71" applyFont="1" applyAlignment="1">
      <alignment horizontal="right"/>
      <protection/>
    </xf>
    <xf numFmtId="49" fontId="30" fillId="0" borderId="0" xfId="71" applyNumberFormat="1" applyFont="1" applyAlignment="1">
      <alignment horizontal="left"/>
      <protection/>
    </xf>
    <xf numFmtId="0" fontId="31" fillId="0" borderId="0" xfId="71" applyFont="1" applyBorder="1" applyAlignment="1">
      <alignment horizontal="left" vertical="top"/>
      <protection/>
    </xf>
    <xf numFmtId="0" fontId="24" fillId="0" borderId="12" xfId="71" applyFont="1" applyBorder="1" applyAlignment="1">
      <alignment horizontal="center" vertical="center" wrapText="1"/>
      <protection/>
    </xf>
    <xf numFmtId="0" fontId="24" fillId="0" borderId="12" xfId="71" applyFont="1" applyBorder="1" applyAlignment="1">
      <alignment horizontal="center"/>
      <protection/>
    </xf>
    <xf numFmtId="49" fontId="24" fillId="0" borderId="12" xfId="71" applyNumberFormat="1" applyFont="1" applyBorder="1" applyAlignment="1">
      <alignment horizontal="center"/>
      <protection/>
    </xf>
    <xf numFmtId="0" fontId="19" fillId="0" borderId="12" xfId="71" applyFont="1" applyBorder="1" applyAlignment="1">
      <alignment horizontal="center"/>
      <protection/>
    </xf>
    <xf numFmtId="49" fontId="32" fillId="39" borderId="12" xfId="71" applyNumberFormat="1" applyFont="1" applyFill="1" applyBorder="1" applyAlignment="1">
      <alignment horizontal="center"/>
      <protection/>
    </xf>
    <xf numFmtId="49" fontId="28" fillId="39" borderId="12" xfId="71" applyNumberFormat="1" applyFont="1" applyFill="1" applyBorder="1" applyAlignment="1">
      <alignment horizontal="center"/>
      <protection/>
    </xf>
    <xf numFmtId="0" fontId="24" fillId="39" borderId="12" xfId="71" applyFont="1" applyFill="1" applyBorder="1" applyAlignment="1">
      <alignment horizontal="left" wrapText="1"/>
      <protection/>
    </xf>
    <xf numFmtId="49" fontId="24" fillId="39" borderId="12" xfId="71" applyNumberFormat="1" applyFont="1" applyFill="1" applyBorder="1" applyAlignment="1">
      <alignment horizontal="center"/>
      <protection/>
    </xf>
    <xf numFmtId="0" fontId="33" fillId="0" borderId="12" xfId="71" applyFont="1" applyBorder="1" applyAlignment="1">
      <alignment horizontal="justify" vertical="top"/>
      <protection/>
    </xf>
    <xf numFmtId="49" fontId="34" fillId="0" borderId="14" xfId="71" applyNumberFormat="1" applyFont="1" applyBorder="1">
      <alignment/>
      <protection/>
    </xf>
    <xf numFmtId="0" fontId="34" fillId="39" borderId="0" xfId="71" applyFont="1" applyFill="1">
      <alignment/>
      <protection/>
    </xf>
    <xf numFmtId="49" fontId="71" fillId="0" borderId="0" xfId="71" applyNumberFormat="1">
      <alignment/>
      <protection/>
    </xf>
    <xf numFmtId="0" fontId="19" fillId="39" borderId="0" xfId="71" applyFont="1" applyFill="1" applyAlignment="1">
      <alignment horizontal="right"/>
      <protection/>
    </xf>
    <xf numFmtId="0" fontId="71" fillId="39" borderId="0" xfId="71" applyFill="1">
      <alignment/>
      <protection/>
    </xf>
    <xf numFmtId="0" fontId="35" fillId="0" borderId="0" xfId="71" applyFont="1" applyAlignment="1">
      <alignment horizontal="right"/>
      <protection/>
    </xf>
    <xf numFmtId="0" fontId="36" fillId="0" borderId="0" xfId="71" applyFont="1">
      <alignment/>
      <protection/>
    </xf>
    <xf numFmtId="0" fontId="36" fillId="0" borderId="0" xfId="71" applyFont="1" applyFill="1">
      <alignment/>
      <protection/>
    </xf>
    <xf numFmtId="0" fontId="35" fillId="39" borderId="0" xfId="71" applyFont="1" applyFill="1" applyAlignment="1">
      <alignment horizontal="right"/>
      <protection/>
    </xf>
    <xf numFmtId="0" fontId="36" fillId="39" borderId="0" xfId="71" applyFont="1" applyFill="1">
      <alignment/>
      <protection/>
    </xf>
    <xf numFmtId="0" fontId="30" fillId="0" borderId="0" xfId="71" applyFont="1">
      <alignment/>
      <protection/>
    </xf>
    <xf numFmtId="0" fontId="0" fillId="0" borderId="0" xfId="0" applyAlignment="1">
      <alignment/>
    </xf>
    <xf numFmtId="0" fontId="13" fillId="0" borderId="0" xfId="66" applyFont="1" applyFill="1" applyAlignment="1">
      <alignment/>
      <protection/>
    </xf>
    <xf numFmtId="0" fontId="13" fillId="0" borderId="0" xfId="66" applyNumberFormat="1" applyFont="1" applyFill="1" applyAlignment="1" applyProtection="1">
      <alignment horizontal="left" vertical="center" wrapText="1"/>
      <protection hidden="1"/>
    </xf>
    <xf numFmtId="4" fontId="20" fillId="0" borderId="12" xfId="0" applyNumberFormat="1" applyFont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4" fontId="16" fillId="41" borderId="12" xfId="0" applyNumberFormat="1" applyFont="1" applyFill="1" applyBorder="1" applyAlignment="1">
      <alignment horizontal="center" vertical="center" wrapText="1"/>
    </xf>
    <xf numFmtId="4" fontId="16" fillId="41" borderId="13" xfId="0" applyNumberFormat="1" applyFont="1" applyFill="1" applyBorder="1" applyAlignment="1">
      <alignment horizontal="center" vertical="center" wrapText="1"/>
    </xf>
    <xf numFmtId="0" fontId="2" fillId="0" borderId="0" xfId="66" applyBorder="1">
      <alignment/>
      <protection/>
    </xf>
    <xf numFmtId="0" fontId="6" fillId="0" borderId="0" xfId="66" applyFont="1" applyBorder="1">
      <alignment/>
      <protection/>
    </xf>
    <xf numFmtId="0" fontId="4" fillId="0" borderId="0" xfId="66" applyFont="1" applyBorder="1">
      <alignment/>
      <protection/>
    </xf>
    <xf numFmtId="0" fontId="6" fillId="0" borderId="0" xfId="66" applyFont="1" applyFill="1" applyBorder="1">
      <alignment/>
      <protection/>
    </xf>
    <xf numFmtId="0" fontId="4" fillId="0" borderId="0" xfId="66" applyFont="1" applyFill="1" applyBorder="1">
      <alignment/>
      <protection/>
    </xf>
    <xf numFmtId="0" fontId="5" fillId="0" borderId="0" xfId="66" applyFont="1" applyBorder="1">
      <alignment/>
      <protection/>
    </xf>
    <xf numFmtId="0" fontId="2" fillId="0" borderId="0" xfId="66" applyFill="1" applyBorder="1">
      <alignment/>
      <protection/>
    </xf>
    <xf numFmtId="0" fontId="7" fillId="0" borderId="0" xfId="66" applyFont="1" applyBorder="1">
      <alignment/>
      <protection/>
    </xf>
    <xf numFmtId="0" fontId="3" fillId="0" borderId="0" xfId="66" applyFont="1" applyBorder="1">
      <alignment/>
      <protection/>
    </xf>
    <xf numFmtId="0" fontId="19" fillId="0" borderId="15" xfId="71" applyFont="1" applyBorder="1" applyAlignment="1">
      <alignment horizontal="right" vertical="top"/>
      <protection/>
    </xf>
    <xf numFmtId="0" fontId="24" fillId="0" borderId="16" xfId="71" applyFont="1" applyBorder="1" applyAlignment="1">
      <alignment horizontal="center" vertical="center" wrapText="1"/>
      <protection/>
    </xf>
    <xf numFmtId="49" fontId="24" fillId="0" borderId="16" xfId="71" applyNumberFormat="1" applyFont="1" applyBorder="1" applyAlignment="1">
      <alignment horizontal="center" vertical="center" wrapText="1"/>
      <protection/>
    </xf>
    <xf numFmtId="0" fontId="24" fillId="0" borderId="14" xfId="71" applyFont="1" applyBorder="1" applyAlignment="1">
      <alignment horizontal="center" vertical="center" wrapText="1"/>
      <protection/>
    </xf>
    <xf numFmtId="0" fontId="13" fillId="0" borderId="0" xfId="72" applyFont="1">
      <alignment/>
      <protection/>
    </xf>
    <xf numFmtId="4" fontId="13" fillId="0" borderId="0" xfId="72" applyNumberFormat="1" applyFont="1" applyAlignment="1">
      <alignment vertical="top"/>
      <protection/>
    </xf>
    <xf numFmtId="4" fontId="13" fillId="0" borderId="0" xfId="72" applyNumberFormat="1" applyFont="1">
      <alignment/>
      <protection/>
    </xf>
    <xf numFmtId="4" fontId="24" fillId="0" borderId="0" xfId="72" applyNumberFormat="1" applyFont="1" applyAlignment="1">
      <alignment vertical="top"/>
      <protection/>
    </xf>
    <xf numFmtId="4" fontId="24" fillId="0" borderId="0" xfId="72" applyNumberFormat="1" applyFont="1">
      <alignment/>
      <protection/>
    </xf>
    <xf numFmtId="0" fontId="24" fillId="0" borderId="0" xfId="72" applyFont="1">
      <alignment/>
      <protection/>
    </xf>
    <xf numFmtId="0" fontId="29" fillId="0" borderId="0" xfId="72" applyFont="1">
      <alignment/>
      <protection/>
    </xf>
    <xf numFmtId="4" fontId="24" fillId="0" borderId="0" xfId="72" applyNumberFormat="1" applyFont="1" applyAlignment="1">
      <alignment horizontal="right"/>
      <protection/>
    </xf>
    <xf numFmtId="0" fontId="2" fillId="0" borderId="0" xfId="72">
      <alignment/>
      <protection/>
    </xf>
    <xf numFmtId="0" fontId="2" fillId="0" borderId="0" xfId="72" applyFont="1">
      <alignment/>
      <protection/>
    </xf>
    <xf numFmtId="0" fontId="13" fillId="0" borderId="12" xfId="72" applyFont="1" applyBorder="1" applyAlignment="1">
      <alignment horizontal="center"/>
      <protection/>
    </xf>
    <xf numFmtId="3" fontId="13" fillId="0" borderId="12" xfId="72" applyNumberFormat="1" applyFont="1" applyFill="1" applyBorder="1" applyAlignment="1">
      <alignment horizontal="center"/>
      <protection/>
    </xf>
    <xf numFmtId="3" fontId="13" fillId="0" borderId="12" xfId="72" applyNumberFormat="1" applyFont="1" applyBorder="1" applyAlignment="1">
      <alignment horizontal="center"/>
      <protection/>
    </xf>
    <xf numFmtId="181" fontId="14" fillId="0" borderId="17" xfId="66" applyNumberFormat="1" applyFont="1" applyFill="1" applyBorder="1" applyAlignment="1" applyProtection="1">
      <alignment horizontal="left" vertical="top" wrapText="1"/>
      <protection hidden="1"/>
    </xf>
    <xf numFmtId="0" fontId="14" fillId="0" borderId="17" xfId="66" applyNumberFormat="1" applyFont="1" applyFill="1" applyBorder="1" applyAlignment="1" applyProtection="1">
      <alignment horizontal="left" vertical="top" wrapText="1"/>
      <protection hidden="1"/>
    </xf>
    <xf numFmtId="0" fontId="13" fillId="0" borderId="12" xfId="72" applyFont="1" applyBorder="1">
      <alignment/>
      <protection/>
    </xf>
    <xf numFmtId="0" fontId="13" fillId="0" borderId="16" xfId="72" applyFont="1" applyBorder="1" applyAlignment="1">
      <alignment wrapText="1"/>
      <protection/>
    </xf>
    <xf numFmtId="0" fontId="14" fillId="0" borderId="12" xfId="72" applyFont="1" applyBorder="1">
      <alignment/>
      <protection/>
    </xf>
    <xf numFmtId="0" fontId="14" fillId="0" borderId="12" xfId="72" applyFont="1" applyBorder="1" applyAlignment="1">
      <alignment wrapText="1"/>
      <protection/>
    </xf>
    <xf numFmtId="0" fontId="13" fillId="0" borderId="12" xfId="72" applyFont="1" applyBorder="1" applyAlignment="1">
      <alignment wrapText="1"/>
      <protection/>
    </xf>
    <xf numFmtId="4" fontId="2" fillId="0" borderId="0" xfId="72" applyNumberFormat="1" applyFont="1">
      <alignment/>
      <protection/>
    </xf>
    <xf numFmtId="4" fontId="2" fillId="0" borderId="0" xfId="72" applyNumberFormat="1">
      <alignment/>
      <protection/>
    </xf>
    <xf numFmtId="0" fontId="0" fillId="0" borderId="0" xfId="0" applyFont="1" applyAlignment="1">
      <alignment/>
    </xf>
    <xf numFmtId="0" fontId="13" fillId="0" borderId="12" xfId="66" applyFont="1" applyBorder="1" applyAlignment="1">
      <alignment horizontal="center" vertical="top" wrapText="1"/>
      <protection/>
    </xf>
    <xf numFmtId="0" fontId="20" fillId="39" borderId="12" xfId="66" applyFont="1" applyFill="1" applyBorder="1" applyAlignment="1">
      <alignment horizontal="left" vertical="center" wrapText="1"/>
      <protection/>
    </xf>
    <xf numFmtId="0" fontId="13" fillId="41" borderId="18" xfId="0" applyFont="1" applyFill="1" applyBorder="1" applyAlignment="1">
      <alignment horizontal="left" vertical="center" wrapText="1"/>
    </xf>
    <xf numFmtId="0" fontId="28" fillId="0" borderId="12" xfId="71" applyFont="1" applyBorder="1" applyAlignment="1">
      <alignment horizontal="left" wrapText="1"/>
      <protection/>
    </xf>
    <xf numFmtId="0" fontId="28" fillId="0" borderId="12" xfId="71" applyFont="1" applyBorder="1" applyAlignment="1">
      <alignment horizontal="center"/>
      <protection/>
    </xf>
    <xf numFmtId="49" fontId="28" fillId="0" borderId="12" xfId="71" applyNumberFormat="1" applyFont="1" applyBorder="1" applyAlignment="1">
      <alignment horizontal="center"/>
      <protection/>
    </xf>
    <xf numFmtId="0" fontId="24" fillId="0" borderId="12" xfId="71" applyFont="1" applyBorder="1" applyAlignment="1">
      <alignment horizontal="left" wrapText="1"/>
      <protection/>
    </xf>
    <xf numFmtId="0" fontId="13" fillId="0" borderId="12" xfId="0" applyFont="1" applyFill="1" applyBorder="1" applyAlignment="1">
      <alignment vertical="top" wrapText="1"/>
    </xf>
    <xf numFmtId="0" fontId="78" fillId="0" borderId="0" xfId="0" applyFont="1" applyAlignment="1">
      <alignment wrapText="1"/>
    </xf>
    <xf numFmtId="0" fontId="13" fillId="0" borderId="19" xfId="0" applyFont="1" applyBorder="1" applyAlignment="1">
      <alignment horizontal="left" vertical="center" wrapText="1"/>
    </xf>
    <xf numFmtId="0" fontId="16" fillId="0" borderId="12" xfId="66" applyFont="1" applyBorder="1" applyAlignment="1">
      <alignment horizontal="center" vertical="center" wrapText="1"/>
      <protection/>
    </xf>
    <xf numFmtId="0" fontId="20" fillId="0" borderId="12" xfId="66" applyFont="1" applyBorder="1" applyAlignment="1">
      <alignment horizontal="center" vertical="center" wrapText="1"/>
      <protection/>
    </xf>
    <xf numFmtId="0" fontId="20" fillId="0" borderId="12" xfId="66" applyFont="1" applyBorder="1" applyAlignment="1">
      <alignment wrapText="1"/>
      <protection/>
    </xf>
    <xf numFmtId="49" fontId="16" fillId="41" borderId="12" xfId="0" applyNumberFormat="1" applyFont="1" applyFill="1" applyBorder="1" applyAlignment="1">
      <alignment horizontal="center" vertical="center" wrapText="1"/>
    </xf>
    <xf numFmtId="0" fontId="16" fillId="0" borderId="12" xfId="66" applyFont="1" applyBorder="1" applyAlignment="1">
      <alignment wrapText="1"/>
      <protection/>
    </xf>
    <xf numFmtId="0" fontId="20" fillId="0" borderId="12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4" fillId="0" borderId="18" xfId="0" applyFont="1" applyBorder="1" applyAlignment="1">
      <alignment horizontal="left" vertical="center" wrapText="1"/>
    </xf>
    <xf numFmtId="0" fontId="13" fillId="41" borderId="18" xfId="0" applyFont="1" applyFill="1" applyBorder="1" applyAlignment="1">
      <alignment wrapText="1"/>
    </xf>
    <xf numFmtId="177" fontId="20" fillId="0" borderId="12" xfId="0" applyNumberFormat="1" applyFont="1" applyBorder="1" applyAlignment="1">
      <alignment horizontal="center"/>
    </xf>
    <xf numFmtId="177" fontId="16" fillId="0" borderId="12" xfId="0" applyNumberFormat="1" applyFont="1" applyBorder="1" applyAlignment="1">
      <alignment horizontal="center"/>
    </xf>
    <xf numFmtId="0" fontId="16" fillId="39" borderId="12" xfId="66" applyFont="1" applyFill="1" applyBorder="1" applyAlignment="1">
      <alignment horizontal="center" vertical="center" wrapText="1"/>
      <protection/>
    </xf>
    <xf numFmtId="0" fontId="79" fillId="41" borderId="20" xfId="0" applyFont="1" applyFill="1" applyBorder="1" applyAlignment="1">
      <alignment horizontal="justify" wrapText="1"/>
    </xf>
    <xf numFmtId="0" fontId="79" fillId="41" borderId="0" xfId="0" applyFont="1" applyFill="1" applyAlignment="1">
      <alignment horizontal="justify" wrapText="1"/>
    </xf>
    <xf numFmtId="0" fontId="16" fillId="39" borderId="17" xfId="0" applyNumberFormat="1" applyFont="1" applyFill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49" fontId="71" fillId="0" borderId="12" xfId="71" applyNumberFormat="1" applyBorder="1">
      <alignment/>
      <protection/>
    </xf>
    <xf numFmtId="49" fontId="34" fillId="0" borderId="12" xfId="71" applyNumberFormat="1" applyFont="1" applyBorder="1">
      <alignment/>
      <protection/>
    </xf>
    <xf numFmtId="49" fontId="24" fillId="39" borderId="14" xfId="71" applyNumberFormat="1" applyFont="1" applyFill="1" applyBorder="1" applyAlignment="1">
      <alignment horizontal="center"/>
      <protection/>
    </xf>
    <xf numFmtId="0" fontId="28" fillId="39" borderId="16" xfId="71" applyFont="1" applyFill="1" applyBorder="1" applyAlignment="1">
      <alignment horizontal="left" wrapText="1"/>
      <protection/>
    </xf>
    <xf numFmtId="0" fontId="24" fillId="39" borderId="21" xfId="71" applyFont="1" applyFill="1" applyBorder="1" applyAlignment="1">
      <alignment horizontal="left" wrapText="1"/>
      <protection/>
    </xf>
    <xf numFmtId="0" fontId="16" fillId="41" borderId="12" xfId="66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3" fillId="41" borderId="19" xfId="0" applyFont="1" applyFill="1" applyBorder="1" applyAlignment="1">
      <alignment horizontal="left" vertical="center" wrapText="1"/>
    </xf>
    <xf numFmtId="177" fontId="14" fillId="42" borderId="12" xfId="66" applyNumberFormat="1" applyFont="1" applyFill="1" applyBorder="1" applyAlignment="1" applyProtection="1">
      <alignment horizontal="center" vertical="center"/>
      <protection hidden="1"/>
    </xf>
    <xf numFmtId="0" fontId="2" fillId="0" borderId="0" xfId="72" applyAlignment="1">
      <alignment wrapText="1"/>
      <protection/>
    </xf>
    <xf numFmtId="0" fontId="24" fillId="0" borderId="0" xfId="72" applyFont="1" applyAlignment="1">
      <alignment wrapText="1"/>
      <protection/>
    </xf>
    <xf numFmtId="0" fontId="2" fillId="0" borderId="0" xfId="72" applyAlignment="1">
      <alignment/>
      <protection/>
    </xf>
    <xf numFmtId="0" fontId="25" fillId="0" borderId="0" xfId="72" applyFont="1" applyAlignment="1">
      <alignment horizontal="right"/>
      <protection/>
    </xf>
    <xf numFmtId="0" fontId="24" fillId="0" borderId="0" xfId="72" applyFont="1" applyAlignment="1">
      <alignment horizontal="right"/>
      <protection/>
    </xf>
    <xf numFmtId="0" fontId="15" fillId="0" borderId="0" xfId="72" applyFont="1">
      <alignment/>
      <protection/>
    </xf>
    <xf numFmtId="0" fontId="28" fillId="0" borderId="12" xfId="72" applyFont="1" applyBorder="1" applyAlignment="1">
      <alignment vertical="top" wrapText="1"/>
      <protection/>
    </xf>
    <xf numFmtId="0" fontId="13" fillId="0" borderId="12" xfId="72" applyFont="1" applyBorder="1" applyAlignment="1">
      <alignment horizontal="center" vertical="top" wrapText="1"/>
      <protection/>
    </xf>
    <xf numFmtId="0" fontId="26" fillId="0" borderId="12" xfId="72" applyFont="1" applyBorder="1" applyAlignment="1">
      <alignment horizontal="center" vertical="top" wrapText="1"/>
      <protection/>
    </xf>
    <xf numFmtId="0" fontId="28" fillId="0" borderId="12" xfId="72" applyFont="1" applyBorder="1" applyAlignment="1">
      <alignment horizontal="center" vertical="top" wrapText="1"/>
      <protection/>
    </xf>
    <xf numFmtId="4" fontId="28" fillId="41" borderId="12" xfId="72" applyNumberFormat="1" applyFont="1" applyFill="1" applyBorder="1" applyAlignment="1">
      <alignment horizontal="right" vertical="top" wrapText="1"/>
      <protection/>
    </xf>
    <xf numFmtId="49" fontId="28" fillId="0" borderId="12" xfId="72" applyNumberFormat="1" applyFont="1" applyBorder="1" applyAlignment="1">
      <alignment horizontal="center" vertical="top" wrapText="1"/>
      <protection/>
    </xf>
    <xf numFmtId="0" fontId="24" fillId="0" borderId="12" xfId="72" applyFont="1" applyBorder="1" applyAlignment="1">
      <alignment horizontal="center" vertical="top" wrapText="1"/>
      <protection/>
    </xf>
    <xf numFmtId="4" fontId="28" fillId="41" borderId="12" xfId="72" applyNumberFormat="1" applyFont="1" applyFill="1" applyBorder="1" applyAlignment="1">
      <alignment vertical="top" wrapText="1"/>
      <protection/>
    </xf>
    <xf numFmtId="0" fontId="24" fillId="0" borderId="12" xfId="72" applyFont="1" applyBorder="1" applyAlignment="1">
      <alignment vertical="top" wrapText="1"/>
      <protection/>
    </xf>
    <xf numFmtId="49" fontId="24" fillId="0" borderId="12" xfId="72" applyNumberFormat="1" applyFont="1" applyBorder="1" applyAlignment="1">
      <alignment horizontal="center" vertical="top" wrapText="1"/>
      <protection/>
    </xf>
    <xf numFmtId="4" fontId="24" fillId="41" borderId="12" xfId="72" applyNumberFormat="1" applyFont="1" applyFill="1" applyBorder="1" applyAlignment="1">
      <alignment vertical="top" wrapText="1"/>
      <protection/>
    </xf>
    <xf numFmtId="0" fontId="24" fillId="0" borderId="12" xfId="72" applyFont="1" applyBorder="1" applyAlignment="1">
      <alignment horizontal="left" vertical="center" wrapText="1"/>
      <protection/>
    </xf>
    <xf numFmtId="0" fontId="24" fillId="41" borderId="12" xfId="72" applyFont="1" applyFill="1" applyBorder="1" applyAlignment="1">
      <alignment vertical="top" wrapText="1"/>
      <protection/>
    </xf>
    <xf numFmtId="0" fontId="24" fillId="41" borderId="12" xfId="72" applyFont="1" applyFill="1" applyBorder="1" applyAlignment="1">
      <alignment horizontal="center" vertical="top" wrapText="1"/>
      <protection/>
    </xf>
    <xf numFmtId="49" fontId="24" fillId="0" borderId="12" xfId="72" applyNumberFormat="1" applyFont="1" applyFill="1" applyBorder="1" applyAlignment="1">
      <alignment horizontal="center" vertical="top" wrapText="1"/>
      <protection/>
    </xf>
    <xf numFmtId="0" fontId="24" fillId="0" borderId="12" xfId="72" applyFont="1" applyFill="1" applyBorder="1" applyAlignment="1">
      <alignment horizontal="center" vertical="top" wrapText="1"/>
      <protection/>
    </xf>
    <xf numFmtId="4" fontId="24" fillId="41" borderId="12" xfId="72" applyNumberFormat="1" applyFont="1" applyFill="1" applyBorder="1">
      <alignment/>
      <protection/>
    </xf>
    <xf numFmtId="0" fontId="24" fillId="0" borderId="12" xfId="72" applyNumberFormat="1" applyFont="1" applyBorder="1" applyAlignment="1">
      <alignment horizontal="justify" vertical="top" wrapText="1"/>
      <protection/>
    </xf>
    <xf numFmtId="0" fontId="24" fillId="0" borderId="12" xfId="72" applyFont="1" applyBorder="1" applyAlignment="1">
      <alignment horizontal="justify" vertical="top" wrapText="1"/>
      <protection/>
    </xf>
    <xf numFmtId="0" fontId="24" fillId="0" borderId="12" xfId="72" applyNumberFormat="1" applyFont="1" applyBorder="1" applyAlignment="1">
      <alignment vertical="top" wrapText="1"/>
      <protection/>
    </xf>
    <xf numFmtId="4" fontId="24" fillId="41" borderId="12" xfId="72" applyNumberFormat="1" applyFont="1" applyFill="1" applyBorder="1" applyAlignment="1">
      <alignment vertical="top"/>
      <protection/>
    </xf>
    <xf numFmtId="4" fontId="27" fillId="42" borderId="12" xfId="72" applyNumberFormat="1" applyFont="1" applyFill="1" applyBorder="1" applyAlignment="1">
      <alignment vertical="top" wrapText="1"/>
      <protection/>
    </xf>
    <xf numFmtId="4" fontId="24" fillId="42" borderId="12" xfId="72" applyNumberFormat="1" applyFont="1" applyFill="1" applyBorder="1" applyAlignment="1">
      <alignment vertical="top" wrapText="1"/>
      <protection/>
    </xf>
    <xf numFmtId="176" fontId="28" fillId="0" borderId="12" xfId="72" applyNumberFormat="1" applyFont="1" applyBorder="1" applyAlignment="1">
      <alignment horizontal="center" vertical="top" wrapText="1"/>
      <protection/>
    </xf>
    <xf numFmtId="0" fontId="24" fillId="41" borderId="12" xfId="72" applyFont="1" applyFill="1" applyBorder="1">
      <alignment/>
      <protection/>
    </xf>
    <xf numFmtId="0" fontId="24" fillId="0" borderId="12" xfId="72" applyFont="1" applyBorder="1" applyAlignment="1">
      <alignment wrapText="1"/>
      <protection/>
    </xf>
    <xf numFmtId="0" fontId="24" fillId="41" borderId="12" xfId="72" applyNumberFormat="1" applyFont="1" applyFill="1" applyBorder="1" applyAlignment="1">
      <alignment horizontal="justify" vertical="top" wrapText="1"/>
      <protection/>
    </xf>
    <xf numFmtId="0" fontId="28" fillId="41" borderId="12" xfId="72" applyFont="1" applyFill="1" applyBorder="1" applyAlignment="1">
      <alignment horizontal="center" vertical="top" wrapText="1"/>
      <protection/>
    </xf>
    <xf numFmtId="49" fontId="24" fillId="41" borderId="12" xfId="72" applyNumberFormat="1" applyFont="1" applyFill="1" applyBorder="1" applyAlignment="1">
      <alignment horizontal="center" vertical="top" wrapText="1"/>
      <protection/>
    </xf>
    <xf numFmtId="0" fontId="2" fillId="41" borderId="0" xfId="72" applyFill="1">
      <alignment/>
      <protection/>
    </xf>
    <xf numFmtId="0" fontId="24" fillId="0" borderId="12" xfId="72" applyFont="1" applyFill="1" applyBorder="1" applyAlignment="1">
      <alignment vertical="top" wrapText="1"/>
      <protection/>
    </xf>
    <xf numFmtId="0" fontId="24" fillId="42" borderId="12" xfId="72" applyFont="1" applyFill="1" applyBorder="1" applyAlignment="1">
      <alignment horizontal="center" vertical="top" wrapText="1"/>
      <protection/>
    </xf>
    <xf numFmtId="4" fontId="24" fillId="41" borderId="12" xfId="72" applyNumberFormat="1" applyFont="1" applyFill="1" applyBorder="1" applyAlignment="1">
      <alignment wrapText="1"/>
      <protection/>
    </xf>
    <xf numFmtId="0" fontId="24" fillId="41" borderId="12" xfId="71" applyFont="1" applyFill="1" applyBorder="1" applyAlignment="1">
      <alignment horizontal="left" wrapText="1"/>
      <protection/>
    </xf>
    <xf numFmtId="0" fontId="24" fillId="41" borderId="12" xfId="72" applyNumberFormat="1" applyFont="1" applyFill="1" applyBorder="1" applyAlignment="1">
      <alignment horizontal="left" wrapText="1"/>
      <protection/>
    </xf>
    <xf numFmtId="0" fontId="28" fillId="0" borderId="12" xfId="72" applyFont="1" applyFill="1" applyBorder="1" applyAlignment="1">
      <alignment horizontal="center" vertical="top" wrapText="1"/>
      <protection/>
    </xf>
    <xf numFmtId="4" fontId="24" fillId="41" borderId="12" xfId="72" applyNumberFormat="1" applyFont="1" applyFill="1" applyBorder="1" applyAlignment="1">
      <alignment vertical="center" wrapText="1"/>
      <protection/>
    </xf>
    <xf numFmtId="4" fontId="24" fillId="0" borderId="12" xfId="72" applyNumberFormat="1" applyFont="1" applyBorder="1">
      <alignment/>
      <protection/>
    </xf>
    <xf numFmtId="0" fontId="24" fillId="41" borderId="12" xfId="72" applyFont="1" applyFill="1" applyBorder="1" applyAlignment="1">
      <alignment horizontal="left" wrapText="1"/>
      <protection/>
    </xf>
    <xf numFmtId="0" fontId="24" fillId="0" borderId="12" xfId="72" applyFont="1" applyBorder="1" applyAlignment="1">
      <alignment horizontal="left" vertical="top" wrapText="1"/>
      <protection/>
    </xf>
    <xf numFmtId="0" fontId="24" fillId="41" borderId="12" xfId="72" applyFont="1" applyFill="1" applyBorder="1" applyAlignment="1">
      <alignment horizontal="left" vertical="top" wrapText="1"/>
      <protection/>
    </xf>
    <xf numFmtId="0" fontId="24" fillId="0" borderId="12" xfId="72" applyFont="1" applyFill="1" applyBorder="1" applyAlignment="1">
      <alignment horizontal="center" wrapText="1"/>
      <protection/>
    </xf>
    <xf numFmtId="177" fontId="24" fillId="41" borderId="12" xfId="71" applyNumberFormat="1" applyFont="1" applyFill="1" applyBorder="1" applyAlignment="1">
      <alignment horizontal="right"/>
      <protection/>
    </xf>
    <xf numFmtId="0" fontId="24" fillId="0" borderId="16" xfId="72" applyFont="1" applyBorder="1" applyAlignment="1">
      <alignment vertical="top" wrapText="1"/>
      <protection/>
    </xf>
    <xf numFmtId="0" fontId="24" fillId="0" borderId="12" xfId="72" applyFont="1" applyBorder="1" applyAlignment="1">
      <alignment vertical="center" wrapText="1"/>
      <protection/>
    </xf>
    <xf numFmtId="0" fontId="28" fillId="0" borderId="14" xfId="72" applyFont="1" applyBorder="1" applyAlignment="1">
      <alignment horizontal="center" vertical="top" wrapText="1"/>
      <protection/>
    </xf>
    <xf numFmtId="0" fontId="24" fillId="0" borderId="22" xfId="72" applyFont="1" applyBorder="1" applyAlignment="1">
      <alignment vertical="center" wrapText="1"/>
      <protection/>
    </xf>
    <xf numFmtId="0" fontId="24" fillId="0" borderId="21" xfId="72" applyFont="1" applyBorder="1" applyAlignment="1">
      <alignment vertical="top" wrapText="1"/>
      <protection/>
    </xf>
    <xf numFmtId="0" fontId="24" fillId="41" borderId="14" xfId="72" applyFont="1" applyFill="1" applyBorder="1" applyAlignment="1">
      <alignment vertical="top" wrapText="1"/>
      <protection/>
    </xf>
    <xf numFmtId="0" fontId="24" fillId="0" borderId="12" xfId="72" applyFont="1" applyBorder="1">
      <alignment/>
      <protection/>
    </xf>
    <xf numFmtId="0" fontId="2" fillId="0" borderId="0" xfId="72" applyFill="1">
      <alignment/>
      <protection/>
    </xf>
    <xf numFmtId="0" fontId="24" fillId="0" borderId="12" xfId="72" applyNumberFormat="1" applyFont="1" applyBorder="1" applyAlignment="1">
      <alignment horizontal="left" wrapText="1"/>
      <protection/>
    </xf>
    <xf numFmtId="0" fontId="24" fillId="0" borderId="12" xfId="72" applyFont="1" applyBorder="1" applyAlignment="1">
      <alignment/>
      <protection/>
    </xf>
    <xf numFmtId="0" fontId="24" fillId="41" borderId="12" xfId="72" applyFont="1" applyFill="1" applyBorder="1" applyAlignment="1">
      <alignment horizontal="right" vertical="top" wrapText="1"/>
      <protection/>
    </xf>
    <xf numFmtId="4" fontId="24" fillId="41" borderId="12" xfId="72" applyNumberFormat="1" applyFont="1" applyFill="1" applyBorder="1" applyAlignment="1">
      <alignment horizontal="right" vertical="top" wrapText="1"/>
      <protection/>
    </xf>
    <xf numFmtId="0" fontId="28" fillId="41" borderId="12" xfId="72" applyFont="1" applyFill="1" applyBorder="1" applyAlignment="1">
      <alignment vertical="top" wrapText="1"/>
      <protection/>
    </xf>
    <xf numFmtId="0" fontId="24" fillId="42" borderId="12" xfId="72" applyFont="1" applyFill="1" applyBorder="1" applyAlignment="1">
      <alignment vertical="top" wrapText="1"/>
      <protection/>
    </xf>
    <xf numFmtId="4" fontId="14" fillId="41" borderId="16" xfId="72" applyNumberFormat="1" applyFont="1" applyFill="1" applyBorder="1" applyAlignment="1">
      <alignment horizontal="right"/>
      <protection/>
    </xf>
    <xf numFmtId="4" fontId="13" fillId="41" borderId="16" xfId="72" applyNumberFormat="1" applyFont="1" applyFill="1" applyBorder="1">
      <alignment/>
      <protection/>
    </xf>
    <xf numFmtId="4" fontId="13" fillId="41" borderId="12" xfId="72" applyNumberFormat="1" applyFont="1" applyFill="1" applyBorder="1">
      <alignment/>
      <protection/>
    </xf>
    <xf numFmtId="4" fontId="16" fillId="41" borderId="12" xfId="0" applyNumberFormat="1" applyFont="1" applyFill="1" applyBorder="1" applyAlignment="1">
      <alignment horizontal="right" wrapText="1"/>
    </xf>
    <xf numFmtId="4" fontId="14" fillId="41" borderId="12" xfId="72" applyNumberFormat="1" applyFont="1" applyFill="1" applyBorder="1">
      <alignment/>
      <protection/>
    </xf>
    <xf numFmtId="4" fontId="13" fillId="41" borderId="12" xfId="0" applyNumberFormat="1" applyFont="1" applyFill="1" applyBorder="1" applyAlignment="1">
      <alignment horizontal="center" vertical="center"/>
    </xf>
    <xf numFmtId="0" fontId="79" fillId="0" borderId="0" xfId="0" applyFont="1" applyAlignment="1">
      <alignment wrapText="1"/>
    </xf>
    <xf numFmtId="49" fontId="13" fillId="41" borderId="23" xfId="0" applyNumberFormat="1" applyFont="1" applyFill="1" applyBorder="1" applyAlignment="1">
      <alignment horizontal="center" vertical="center"/>
    </xf>
    <xf numFmtId="0" fontId="13" fillId="41" borderId="12" xfId="0" applyFont="1" applyFill="1" applyBorder="1" applyAlignment="1">
      <alignment horizontal="left" vertical="center" wrapText="1"/>
    </xf>
    <xf numFmtId="0" fontId="13" fillId="41" borderId="3" xfId="0" applyFont="1" applyFill="1" applyBorder="1" applyAlignment="1">
      <alignment horizontal="center"/>
    </xf>
    <xf numFmtId="0" fontId="13" fillId="41" borderId="0" xfId="0" applyFont="1" applyFill="1" applyAlignment="1">
      <alignment wrapText="1"/>
    </xf>
    <xf numFmtId="4" fontId="16" fillId="41" borderId="13" xfId="0" applyNumberFormat="1" applyFont="1" applyFill="1" applyBorder="1" applyAlignment="1">
      <alignment horizontal="right" wrapText="1"/>
    </xf>
    <xf numFmtId="0" fontId="13" fillId="41" borderId="0" xfId="66" applyFont="1" applyFill="1" applyBorder="1" applyAlignment="1">
      <alignment horizontal="left"/>
      <protection/>
    </xf>
    <xf numFmtId="177" fontId="16" fillId="0" borderId="12" xfId="0" applyNumberFormat="1" applyFont="1" applyBorder="1" applyAlignment="1">
      <alignment horizontal="center"/>
    </xf>
    <xf numFmtId="0" fontId="0" fillId="41" borderId="0" xfId="0" applyFont="1" applyFill="1" applyAlignment="1">
      <alignment wrapText="1"/>
    </xf>
    <xf numFmtId="0" fontId="16" fillId="41" borderId="0" xfId="0" applyFont="1" applyFill="1" applyAlignment="1">
      <alignment horizontal="right"/>
    </xf>
    <xf numFmtId="177" fontId="16" fillId="41" borderId="12" xfId="0" applyNumberFormat="1" applyFont="1" applyFill="1" applyBorder="1" applyAlignment="1">
      <alignment horizontal="center" vertical="center" wrapText="1"/>
    </xf>
    <xf numFmtId="177" fontId="20" fillId="41" borderId="12" xfId="0" applyNumberFormat="1" applyFont="1" applyFill="1" applyBorder="1" applyAlignment="1">
      <alignment horizontal="center"/>
    </xf>
    <xf numFmtId="177" fontId="16" fillId="41" borderId="12" xfId="0" applyNumberFormat="1" applyFont="1" applyFill="1" applyBorder="1" applyAlignment="1">
      <alignment horizontal="center"/>
    </xf>
    <xf numFmtId="177" fontId="16" fillId="41" borderId="12" xfId="0" applyNumberFormat="1" applyFont="1" applyFill="1" applyBorder="1" applyAlignment="1">
      <alignment horizontal="center"/>
    </xf>
    <xf numFmtId="0" fontId="16" fillId="41" borderId="0" xfId="0" applyFont="1" applyFill="1" applyAlignment="1">
      <alignment/>
    </xf>
    <xf numFmtId="0" fontId="0" fillId="41" borderId="0" xfId="0" applyFill="1" applyAlignment="1">
      <alignment/>
    </xf>
    <xf numFmtId="0" fontId="2" fillId="41" borderId="0" xfId="66" applyFill="1">
      <alignment/>
      <protection/>
    </xf>
    <xf numFmtId="0" fontId="20" fillId="41" borderId="12" xfId="0" applyFont="1" applyFill="1" applyBorder="1" applyAlignment="1">
      <alignment horizontal="center" vertical="top" wrapText="1"/>
    </xf>
    <xf numFmtId="0" fontId="13" fillId="41" borderId="12" xfId="66" applyFont="1" applyFill="1" applyBorder="1" applyAlignment="1">
      <alignment horizontal="center"/>
      <protection/>
    </xf>
    <xf numFmtId="0" fontId="14" fillId="41" borderId="12" xfId="66" applyFont="1" applyFill="1" applyBorder="1" applyAlignment="1">
      <alignment horizontal="center" vertical="center"/>
      <protection/>
    </xf>
    <xf numFmtId="177" fontId="14" fillId="41" borderId="12" xfId="66" applyNumberFormat="1" applyFont="1" applyFill="1" applyBorder="1" applyAlignment="1" applyProtection="1">
      <alignment horizontal="center" vertical="center"/>
      <protection hidden="1"/>
    </xf>
    <xf numFmtId="177" fontId="13" fillId="41" borderId="12" xfId="66" applyNumberFormat="1" applyFont="1" applyFill="1" applyBorder="1" applyAlignment="1" applyProtection="1">
      <alignment horizontal="center" vertical="center"/>
      <protection hidden="1"/>
    </xf>
    <xf numFmtId="177" fontId="13" fillId="41" borderId="12" xfId="66" applyNumberFormat="1" applyFont="1" applyFill="1" applyBorder="1" applyAlignment="1">
      <alignment horizontal="center" vertical="center"/>
      <protection/>
    </xf>
    <xf numFmtId="177" fontId="14" fillId="41" borderId="12" xfId="66" applyNumberFormat="1" applyFont="1" applyFill="1" applyBorder="1" applyAlignment="1">
      <alignment horizontal="center" vertical="center"/>
      <protection/>
    </xf>
    <xf numFmtId="0" fontId="13" fillId="0" borderId="12" xfId="72" applyFont="1" applyBorder="1" applyAlignment="1">
      <alignment vertical="top" wrapText="1"/>
      <protection/>
    </xf>
    <xf numFmtId="0" fontId="14" fillId="0" borderId="12" xfId="72" applyFont="1" applyBorder="1" applyAlignment="1">
      <alignment vertical="top" wrapText="1"/>
      <protection/>
    </xf>
    <xf numFmtId="0" fontId="13" fillId="41" borderId="12" xfId="72" applyFont="1" applyFill="1" applyBorder="1" applyAlignment="1">
      <alignment vertical="top" wrapText="1"/>
      <protection/>
    </xf>
    <xf numFmtId="0" fontId="78" fillId="41" borderId="0" xfId="0" applyFont="1" applyFill="1" applyAlignment="1">
      <alignment/>
    </xf>
    <xf numFmtId="177" fontId="8" fillId="41" borderId="0" xfId="66" applyNumberFormat="1" applyFont="1" applyFill="1" applyBorder="1" applyAlignment="1" applyProtection="1">
      <alignment horizontal="right"/>
      <protection hidden="1"/>
    </xf>
    <xf numFmtId="49" fontId="13" fillId="41" borderId="12" xfId="66" applyNumberFormat="1" applyFont="1" applyFill="1" applyBorder="1" applyAlignment="1" applyProtection="1">
      <alignment horizontal="center" wrapText="1"/>
      <protection hidden="1"/>
    </xf>
    <xf numFmtId="0" fontId="2" fillId="41" borderId="0" xfId="66" applyFont="1" applyFill="1" applyBorder="1" applyAlignment="1">
      <alignment horizontal="right"/>
      <protection/>
    </xf>
    <xf numFmtId="177" fontId="17" fillId="41" borderId="0" xfId="66" applyNumberFormat="1" applyFont="1" applyFill="1" applyBorder="1">
      <alignment/>
      <protection/>
    </xf>
    <xf numFmtId="177" fontId="2" fillId="41" borderId="0" xfId="66" applyNumberFormat="1" applyFont="1" applyFill="1" applyBorder="1">
      <alignment/>
      <protection/>
    </xf>
    <xf numFmtId="0" fontId="2" fillId="41" borderId="0" xfId="66" applyFont="1" applyFill="1" applyBorder="1">
      <alignment/>
      <protection/>
    </xf>
    <xf numFmtId="0" fontId="8" fillId="41" borderId="0" xfId="66" applyFont="1" applyFill="1">
      <alignment/>
      <protection/>
    </xf>
    <xf numFmtId="0" fontId="13" fillId="41" borderId="0" xfId="66" applyFont="1" applyFill="1" applyAlignment="1">
      <alignment horizontal="right"/>
      <protection/>
    </xf>
    <xf numFmtId="0" fontId="14" fillId="41" borderId="24" xfId="0" applyFont="1" applyFill="1" applyBorder="1" applyAlignment="1">
      <alignment horizontal="center" wrapText="1"/>
    </xf>
    <xf numFmtId="0" fontId="13" fillId="41" borderId="12" xfId="66" applyFont="1" applyFill="1" applyBorder="1" applyAlignment="1">
      <alignment horizontal="center" vertical="center"/>
      <protection/>
    </xf>
    <xf numFmtId="0" fontId="13" fillId="41" borderId="0" xfId="66" applyFont="1" applyFill="1" applyAlignment="1">
      <alignment/>
      <protection/>
    </xf>
    <xf numFmtId="0" fontId="24" fillId="41" borderId="0" xfId="66" applyFont="1" applyFill="1" applyAlignment="1">
      <alignment/>
      <protection/>
    </xf>
    <xf numFmtId="0" fontId="29" fillId="41" borderId="0" xfId="66" applyFont="1" applyFill="1">
      <alignment/>
      <protection/>
    </xf>
    <xf numFmtId="0" fontId="41" fillId="41" borderId="12" xfId="66" applyFont="1" applyFill="1" applyBorder="1" applyAlignment="1">
      <alignment vertical="top" wrapText="1"/>
      <protection/>
    </xf>
    <xf numFmtId="0" fontId="26" fillId="41" borderId="12" xfId="66" applyFont="1" applyFill="1" applyBorder="1" applyAlignment="1">
      <alignment horizontal="center" vertical="top" wrapText="1"/>
      <protection/>
    </xf>
    <xf numFmtId="176" fontId="13" fillId="41" borderId="12" xfId="0" applyNumberFormat="1" applyFont="1" applyFill="1" applyBorder="1" applyAlignment="1">
      <alignment horizontal="right" vertical="top" wrapText="1"/>
    </xf>
    <xf numFmtId="177" fontId="13" fillId="41" borderId="12" xfId="0" applyNumberFormat="1" applyFont="1" applyFill="1" applyBorder="1" applyAlignment="1">
      <alignment horizontal="right" vertical="top" wrapText="1"/>
    </xf>
    <xf numFmtId="176" fontId="14" fillId="41" borderId="12" xfId="0" applyNumberFormat="1" applyFont="1" applyFill="1" applyBorder="1" applyAlignment="1">
      <alignment horizontal="right" vertical="top" wrapText="1"/>
    </xf>
    <xf numFmtId="0" fontId="28" fillId="42" borderId="12" xfId="72" applyFont="1" applyFill="1" applyBorder="1" applyAlignment="1">
      <alignment horizontal="center" vertical="top" wrapText="1"/>
      <protection/>
    </xf>
    <xf numFmtId="4" fontId="28" fillId="42" borderId="12" xfId="72" applyNumberFormat="1" applyFont="1" applyFill="1" applyBorder="1" applyAlignment="1">
      <alignment vertical="top" wrapText="1"/>
      <protection/>
    </xf>
    <xf numFmtId="0" fontId="29" fillId="0" borderId="12" xfId="72" applyFont="1" applyBorder="1">
      <alignment/>
      <protection/>
    </xf>
    <xf numFmtId="0" fontId="13" fillId="41" borderId="0" xfId="72" applyFont="1" applyFill="1">
      <alignment/>
      <protection/>
    </xf>
    <xf numFmtId="0" fontId="14" fillId="41" borderId="12" xfId="66" applyFont="1" applyFill="1" applyBorder="1" applyAlignment="1">
      <alignment horizontal="center" vertical="top" wrapText="1"/>
      <protection/>
    </xf>
    <xf numFmtId="0" fontId="2" fillId="41" borderId="12" xfId="72" applyFill="1" applyBorder="1" applyAlignment="1">
      <alignment horizontal="center"/>
      <protection/>
    </xf>
    <xf numFmtId="4" fontId="29" fillId="41" borderId="12" xfId="72" applyNumberFormat="1" applyFont="1" applyFill="1" applyBorder="1">
      <alignment/>
      <protection/>
    </xf>
    <xf numFmtId="4" fontId="27" fillId="41" borderId="12" xfId="72" applyNumberFormat="1" applyFont="1" applyFill="1" applyBorder="1" applyAlignment="1">
      <alignment vertical="top" wrapText="1"/>
      <protection/>
    </xf>
    <xf numFmtId="0" fontId="29" fillId="41" borderId="0" xfId="72" applyFont="1" applyFill="1">
      <alignment/>
      <protection/>
    </xf>
    <xf numFmtId="49" fontId="28" fillId="0" borderId="12" xfId="7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49" fontId="19" fillId="0" borderId="0" xfId="71" applyNumberFormat="1" applyFont="1">
      <alignment/>
      <protection/>
    </xf>
    <xf numFmtId="49" fontId="19" fillId="0" borderId="0" xfId="71" applyNumberFormat="1" applyFont="1" applyAlignment="1">
      <alignment wrapText="1"/>
      <protection/>
    </xf>
    <xf numFmtId="177" fontId="32" fillId="41" borderId="12" xfId="71" applyNumberFormat="1" applyFont="1" applyFill="1" applyBorder="1" applyAlignment="1">
      <alignment horizontal="right"/>
      <protection/>
    </xf>
    <xf numFmtId="177" fontId="71" fillId="41" borderId="12" xfId="71" applyNumberFormat="1" applyFill="1" applyBorder="1">
      <alignment/>
      <protection/>
    </xf>
    <xf numFmtId="177" fontId="28" fillId="41" borderId="12" xfId="71" applyNumberFormat="1" applyFont="1" applyFill="1" applyBorder="1" applyAlignment="1">
      <alignment horizontal="right"/>
      <protection/>
    </xf>
    <xf numFmtId="177" fontId="24" fillId="41" borderId="19" xfId="72" applyNumberFormat="1" applyFont="1" applyFill="1" applyBorder="1" applyAlignment="1">
      <alignment horizontal="right"/>
      <protection/>
    </xf>
    <xf numFmtId="177" fontId="24" fillId="41" borderId="12" xfId="72" applyNumberFormat="1" applyFont="1" applyFill="1" applyBorder="1" applyAlignment="1">
      <alignment horizontal="right"/>
      <protection/>
    </xf>
    <xf numFmtId="177" fontId="24" fillId="41" borderId="25" xfId="72" applyNumberFormat="1" applyFont="1" applyFill="1" applyBorder="1" applyAlignment="1">
      <alignment horizontal="right"/>
      <protection/>
    </xf>
    <xf numFmtId="177" fontId="24" fillId="41" borderId="0" xfId="72" applyNumberFormat="1" applyFont="1" applyFill="1" applyBorder="1" applyAlignment="1">
      <alignment horizontal="right"/>
      <protection/>
    </xf>
    <xf numFmtId="177" fontId="24" fillId="42" borderId="12" xfId="71" applyNumberFormat="1" applyFont="1" applyFill="1" applyBorder="1" applyAlignment="1">
      <alignment horizontal="right"/>
      <protection/>
    </xf>
    <xf numFmtId="0" fontId="24" fillId="41" borderId="0" xfId="72" applyFont="1" applyFill="1" applyAlignment="1">
      <alignment wrapText="1"/>
      <protection/>
    </xf>
    <xf numFmtId="0" fontId="24" fillId="41" borderId="12" xfId="71" applyFont="1" applyFill="1" applyBorder="1" applyAlignment="1">
      <alignment horizontal="center"/>
      <protection/>
    </xf>
    <xf numFmtId="49" fontId="24" fillId="41" borderId="12" xfId="71" applyNumberFormat="1" applyFont="1" applyFill="1" applyBorder="1" applyAlignment="1">
      <alignment horizontal="center"/>
      <protection/>
    </xf>
    <xf numFmtId="177" fontId="24" fillId="41" borderId="18" xfId="72" applyNumberFormat="1" applyFont="1" applyFill="1" applyBorder="1" applyAlignment="1">
      <alignment horizontal="right"/>
      <protection/>
    </xf>
    <xf numFmtId="0" fontId="24" fillId="0" borderId="14" xfId="71" applyFont="1" applyBorder="1" applyAlignment="1">
      <alignment horizontal="center"/>
      <protection/>
    </xf>
    <xf numFmtId="177" fontId="33" fillId="41" borderId="12" xfId="71" applyNumberFormat="1" applyFont="1" applyFill="1" applyBorder="1" applyAlignment="1">
      <alignment horizontal="right"/>
      <protection/>
    </xf>
    <xf numFmtId="0" fontId="71" fillId="0" borderId="0" xfId="71" applyAlignment="1">
      <alignment horizontal="right"/>
      <protection/>
    </xf>
    <xf numFmtId="0" fontId="35" fillId="0" borderId="0" xfId="71" applyFont="1" applyFill="1" applyAlignment="1">
      <alignment horizontal="right"/>
      <protection/>
    </xf>
    <xf numFmtId="49" fontId="19" fillId="0" borderId="0" xfId="71" applyNumberFormat="1" applyFont="1" applyFill="1" applyAlignment="1">
      <alignment/>
      <protection/>
    </xf>
    <xf numFmtId="49" fontId="19" fillId="0" borderId="0" xfId="71" applyNumberFormat="1" applyFont="1" applyAlignment="1">
      <alignment/>
      <protection/>
    </xf>
    <xf numFmtId="4" fontId="13" fillId="0" borderId="0" xfId="72" applyNumberFormat="1" applyFont="1" applyAlignment="1">
      <alignment/>
      <protection/>
    </xf>
    <xf numFmtId="4" fontId="13" fillId="0" borderId="0" xfId="72" applyNumberFormat="1" applyFont="1" applyBorder="1" applyAlignment="1">
      <alignment wrapText="1"/>
      <protection/>
    </xf>
    <xf numFmtId="0" fontId="28" fillId="0" borderId="0" xfId="72" applyFont="1" applyAlignment="1">
      <alignment horizontal="center"/>
      <protection/>
    </xf>
    <xf numFmtId="0" fontId="29" fillId="0" borderId="0" xfId="72" applyFont="1" applyAlignment="1">
      <alignment horizontal="center"/>
      <protection/>
    </xf>
    <xf numFmtId="0" fontId="39" fillId="0" borderId="0" xfId="72" applyFont="1" applyAlignment="1">
      <alignment horizontal="center"/>
      <protection/>
    </xf>
    <xf numFmtId="0" fontId="40" fillId="0" borderId="0" xfId="72" applyFont="1" applyAlignment="1">
      <alignment horizontal="center"/>
      <protection/>
    </xf>
    <xf numFmtId="0" fontId="14" fillId="0" borderId="16" xfId="72" applyFont="1" applyBorder="1" applyAlignment="1">
      <alignment vertical="top"/>
      <protection/>
    </xf>
    <xf numFmtId="0" fontId="14" fillId="0" borderId="21" xfId="72" applyFont="1" applyBorder="1" applyAlignment="1">
      <alignment vertical="top"/>
      <protection/>
    </xf>
    <xf numFmtId="0" fontId="14" fillId="0" borderId="16" xfId="72" applyFont="1" applyBorder="1" applyAlignment="1">
      <alignment wrapText="1"/>
      <protection/>
    </xf>
    <xf numFmtId="0" fontId="14" fillId="0" borderId="21" xfId="72" applyFont="1" applyBorder="1" applyAlignment="1">
      <alignment/>
      <protection/>
    </xf>
    <xf numFmtId="0" fontId="14" fillId="0" borderId="16" xfId="72" applyNumberFormat="1" applyFont="1" applyBorder="1" applyAlignment="1">
      <alignment horizontal="center" vertical="top" wrapText="1"/>
      <protection/>
    </xf>
    <xf numFmtId="0" fontId="67" fillId="0" borderId="21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0" fillId="0" borderId="17" xfId="0" applyFont="1" applyBorder="1" applyAlignment="1">
      <alignment/>
    </xf>
    <xf numFmtId="0" fontId="80" fillId="0" borderId="14" xfId="0" applyFont="1" applyBorder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81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1" xfId="0" applyBorder="1" applyAlignment="1">
      <alignment wrapText="1"/>
    </xf>
    <xf numFmtId="0" fontId="20" fillId="0" borderId="12" xfId="0" applyFont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41" borderId="16" xfId="0" applyFont="1" applyFill="1" applyBorder="1" applyAlignment="1">
      <alignment horizontal="center" vertical="center" wrapText="1"/>
    </xf>
    <xf numFmtId="0" fontId="20" fillId="41" borderId="26" xfId="0" applyFont="1" applyFill="1" applyBorder="1" applyAlignment="1">
      <alignment horizontal="center" vertical="center" wrapText="1"/>
    </xf>
    <xf numFmtId="0" fontId="20" fillId="41" borderId="21" xfId="0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horizontal="center" wrapText="1"/>
    </xf>
    <xf numFmtId="0" fontId="38" fillId="0" borderId="0" xfId="0" applyNumberFormat="1" applyFont="1" applyAlignment="1">
      <alignment horizontal="center" wrapText="1"/>
    </xf>
    <xf numFmtId="0" fontId="2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0" fillId="0" borderId="0" xfId="0" applyAlignment="1">
      <alignment/>
    </xf>
    <xf numFmtId="0" fontId="78" fillId="0" borderId="0" xfId="0" applyFont="1" applyAlignment="1">
      <alignment/>
    </xf>
    <xf numFmtId="49" fontId="13" fillId="41" borderId="12" xfId="66" applyNumberFormat="1" applyFont="1" applyFill="1" applyBorder="1" applyAlignment="1" applyProtection="1">
      <alignment horizontal="center" wrapText="1"/>
      <protection hidden="1"/>
    </xf>
    <xf numFmtId="49" fontId="13" fillId="39" borderId="12" xfId="66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 horizontal="center" wrapText="1"/>
    </xf>
    <xf numFmtId="0" fontId="78" fillId="0" borderId="0" xfId="0" applyFont="1" applyAlignment="1">
      <alignment wrapText="1"/>
    </xf>
    <xf numFmtId="0" fontId="13" fillId="41" borderId="0" xfId="66" applyFont="1" applyFill="1" applyBorder="1" applyAlignment="1">
      <alignment horizontal="left"/>
      <protection/>
    </xf>
    <xf numFmtId="0" fontId="13" fillId="0" borderId="0" xfId="66" applyFont="1" applyBorder="1" applyAlignment="1">
      <alignment horizontal="left"/>
      <protection/>
    </xf>
    <xf numFmtId="0" fontId="13" fillId="0" borderId="0" xfId="66" applyFont="1" applyBorder="1" applyAlignment="1">
      <alignment wrapText="1"/>
      <protection/>
    </xf>
    <xf numFmtId="0" fontId="39" fillId="0" borderId="0" xfId="66" applyFont="1" applyAlignment="1">
      <alignment horizontal="center" wrapText="1"/>
      <protection/>
    </xf>
    <xf numFmtId="0" fontId="82" fillId="0" borderId="0" xfId="0" applyFont="1" applyAlignment="1">
      <alignment horizontal="center" wrapText="1"/>
    </xf>
    <xf numFmtId="0" fontId="39" fillId="0" borderId="0" xfId="66" applyFont="1" applyAlignment="1">
      <alignment vertical="center" wrapText="1"/>
      <protection/>
    </xf>
    <xf numFmtId="0" fontId="82" fillId="0" borderId="0" xfId="0" applyFont="1" applyAlignment="1">
      <alignment vertical="center" wrapText="1"/>
    </xf>
    <xf numFmtId="49" fontId="23" fillId="41" borderId="0" xfId="71" applyNumberFormat="1" applyFont="1" applyFill="1" applyAlignment="1">
      <alignment horizontal="center" vertical="center" wrapText="1"/>
      <protection/>
    </xf>
    <xf numFmtId="0" fontId="31" fillId="0" borderId="0" xfId="71" applyFont="1" applyBorder="1" applyAlignment="1">
      <alignment vertical="center"/>
      <protection/>
    </xf>
    <xf numFmtId="0" fontId="24" fillId="0" borderId="0" xfId="66" applyFont="1" applyBorder="1" applyAlignment="1">
      <alignment horizontal="left" wrapText="1"/>
      <protection/>
    </xf>
    <xf numFmtId="0" fontId="39" fillId="0" borderId="0" xfId="66" applyFont="1" applyBorder="1" applyAlignment="1">
      <alignment horizontal="center" vertical="center" wrapText="1"/>
      <protection/>
    </xf>
    <xf numFmtId="0" fontId="24" fillId="0" borderId="0" xfId="66" applyFont="1" applyBorder="1">
      <alignment/>
      <protection/>
    </xf>
    <xf numFmtId="0" fontId="13" fillId="0" borderId="0" xfId="66" applyFont="1" applyBorder="1" applyAlignment="1">
      <alignment horizontal="left" wrapText="1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_Приложение 1 объем доходов декабрь" xfId="69"/>
    <cellStyle name="Обычный 3" xfId="70"/>
    <cellStyle name="Обычный 3 2" xfId="71"/>
    <cellStyle name="Обычный 4" xfId="72"/>
    <cellStyle name="Отдельная ячейка" xfId="73"/>
    <cellStyle name="Отдельная ячейка - константа" xfId="74"/>
    <cellStyle name="Отдельная ячейка - константа [печать]" xfId="75"/>
    <cellStyle name="Отдельная ячейка [печать]" xfId="76"/>
    <cellStyle name="Отдельная ячейка-результат" xfId="77"/>
    <cellStyle name="Отдельная ячейка-результат [печать]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ойства элементов измерения" xfId="84"/>
    <cellStyle name="Свойства элементов измерения [печать]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  <cellStyle name="Элементы осей" xfId="91"/>
    <cellStyle name="Элементы осей [печать]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30"/>
  <sheetViews>
    <sheetView zoomScalePageLayoutView="0" workbookViewId="0" topLeftCell="A1">
      <selection activeCell="B11" sqref="B11:B12"/>
    </sheetView>
  </sheetViews>
  <sheetFormatPr defaultColWidth="9.00390625" defaultRowHeight="12.75"/>
  <cols>
    <col min="1" max="1" width="23.25390625" style="147" customWidth="1"/>
    <col min="2" max="2" width="39.625" style="147" customWidth="1"/>
    <col min="3" max="3" width="17.25390625" style="160" customWidth="1"/>
    <col min="4" max="4" width="15.375" style="160" customWidth="1"/>
    <col min="5" max="16384" width="9.125" style="147" customWidth="1"/>
  </cols>
  <sheetData>
    <row r="1" spans="3:4" s="139" customFormat="1" ht="18" customHeight="1">
      <c r="C1" s="343" t="s">
        <v>74</v>
      </c>
      <c r="D1" s="343"/>
    </row>
    <row r="2" spans="3:4" s="139" customFormat="1" ht="18" customHeight="1">
      <c r="C2" s="344" t="s">
        <v>349</v>
      </c>
      <c r="D2" s="344"/>
    </row>
    <row r="3" spans="3:4" s="139" customFormat="1" ht="18" customHeight="1">
      <c r="C3" s="344" t="s">
        <v>350</v>
      </c>
      <c r="D3" s="344"/>
    </row>
    <row r="4" spans="3:4" s="139" customFormat="1" ht="18" customHeight="1">
      <c r="C4" s="343" t="s">
        <v>224</v>
      </c>
      <c r="D4" s="343"/>
    </row>
    <row r="5" spans="3:4" s="139" customFormat="1" ht="18" customHeight="1">
      <c r="C5" s="140" t="s">
        <v>188</v>
      </c>
      <c r="D5" s="141"/>
    </row>
    <row r="6" spans="3:4" s="139" customFormat="1" ht="18" customHeight="1">
      <c r="C6" s="142"/>
      <c r="D6" s="143"/>
    </row>
    <row r="7" spans="1:6" s="145" customFormat="1" ht="23.25" customHeight="1">
      <c r="A7" s="345"/>
      <c r="B7" s="346"/>
      <c r="C7" s="346"/>
      <c r="D7" s="346"/>
      <c r="E7" s="144"/>
      <c r="F7" s="144"/>
    </row>
    <row r="8" spans="1:6" s="145" customFormat="1" ht="15.75">
      <c r="A8" s="347" t="s">
        <v>252</v>
      </c>
      <c r="B8" s="347"/>
      <c r="C8" s="348"/>
      <c r="D8" s="348"/>
      <c r="E8" s="144"/>
      <c r="F8" s="144"/>
    </row>
    <row r="9" spans="1:6" s="145" customFormat="1" ht="21" customHeight="1">
      <c r="A9" s="347" t="s">
        <v>359</v>
      </c>
      <c r="B9" s="347"/>
      <c r="C9" s="348"/>
      <c r="D9" s="348"/>
      <c r="E9" s="144"/>
      <c r="F9" s="144"/>
    </row>
    <row r="10" spans="1:6" ht="27" customHeight="1">
      <c r="A10" s="144" t="s">
        <v>155</v>
      </c>
      <c r="B10" s="144"/>
      <c r="C10" s="143"/>
      <c r="D10" s="146" t="s">
        <v>226</v>
      </c>
      <c r="E10" s="144"/>
      <c r="F10" s="144"/>
    </row>
    <row r="11" spans="1:6" s="148" customFormat="1" ht="30" customHeight="1">
      <c r="A11" s="349" t="s">
        <v>227</v>
      </c>
      <c r="B11" s="351" t="s">
        <v>228</v>
      </c>
      <c r="C11" s="353" t="s">
        <v>229</v>
      </c>
      <c r="D11" s="353" t="s">
        <v>348</v>
      </c>
      <c r="E11" s="139"/>
      <c r="F11" s="139"/>
    </row>
    <row r="12" spans="1:6" s="148" customFormat="1" ht="60.75" customHeight="1">
      <c r="A12" s="350"/>
      <c r="B12" s="352"/>
      <c r="C12" s="354"/>
      <c r="D12" s="354"/>
      <c r="E12" s="139"/>
      <c r="F12" s="139"/>
    </row>
    <row r="13" spans="1:6" s="148" customFormat="1" ht="17.25" customHeight="1">
      <c r="A13" s="149">
        <v>1</v>
      </c>
      <c r="B13" s="149">
        <v>2</v>
      </c>
      <c r="C13" s="150">
        <v>3</v>
      </c>
      <c r="D13" s="151">
        <v>4</v>
      </c>
      <c r="E13" s="139"/>
      <c r="F13" s="139"/>
    </row>
    <row r="14" spans="1:6" s="148" customFormat="1" ht="48" customHeight="1" hidden="1">
      <c r="A14" s="152" t="s">
        <v>230</v>
      </c>
      <c r="B14" s="153" t="s">
        <v>231</v>
      </c>
      <c r="C14" s="260">
        <f>C15+C16</f>
        <v>0</v>
      </c>
      <c r="D14" s="260">
        <f>D15+D16</f>
        <v>0</v>
      </c>
      <c r="E14" s="139"/>
      <c r="F14" s="139"/>
    </row>
    <row r="15" spans="1:6" s="148" customFormat="1" ht="51" hidden="1">
      <c r="A15" s="154" t="s">
        <v>111</v>
      </c>
      <c r="B15" s="155" t="s">
        <v>113</v>
      </c>
      <c r="C15" s="261">
        <v>0</v>
      </c>
      <c r="D15" s="262">
        <v>0</v>
      </c>
      <c r="E15" s="139"/>
      <c r="F15" s="139"/>
    </row>
    <row r="16" spans="1:6" s="148" customFormat="1" ht="51" hidden="1">
      <c r="A16" s="154" t="s">
        <v>112</v>
      </c>
      <c r="B16" s="155" t="s">
        <v>114</v>
      </c>
      <c r="C16" s="261">
        <v>0</v>
      </c>
      <c r="D16" s="263">
        <v>0</v>
      </c>
      <c r="E16" s="139"/>
      <c r="F16" s="139"/>
    </row>
    <row r="17" spans="1:6" s="148" customFormat="1" ht="25.5">
      <c r="A17" s="156" t="s">
        <v>232</v>
      </c>
      <c r="B17" s="157" t="s">
        <v>233</v>
      </c>
      <c r="C17" s="264">
        <f>C21+C25</f>
        <v>-3573.8</v>
      </c>
      <c r="D17" s="264">
        <f>D21+D25</f>
        <v>-5971.700000000012</v>
      </c>
      <c r="E17" s="139"/>
      <c r="F17" s="139"/>
    </row>
    <row r="18" spans="1:6" s="148" customFormat="1" ht="32.25" customHeight="1">
      <c r="A18" s="154" t="s">
        <v>234</v>
      </c>
      <c r="B18" s="158" t="s">
        <v>235</v>
      </c>
      <c r="C18" s="262">
        <f>C21</f>
        <v>0</v>
      </c>
      <c r="D18" s="262">
        <f>D21</f>
        <v>-167007.1</v>
      </c>
      <c r="E18" s="139"/>
      <c r="F18" s="139"/>
    </row>
    <row r="19" spans="1:6" s="148" customFormat="1" ht="25.5">
      <c r="A19" s="154" t="s">
        <v>236</v>
      </c>
      <c r="B19" s="158" t="s">
        <v>49</v>
      </c>
      <c r="C19" s="262">
        <f>C21</f>
        <v>0</v>
      </c>
      <c r="D19" s="262">
        <f>D21</f>
        <v>-167007.1</v>
      </c>
      <c r="E19" s="139"/>
      <c r="F19" s="139"/>
    </row>
    <row r="20" spans="1:6" s="148" customFormat="1" ht="25.5">
      <c r="A20" s="154" t="s">
        <v>237</v>
      </c>
      <c r="B20" s="158" t="s">
        <v>238</v>
      </c>
      <c r="C20" s="262">
        <f>C21</f>
        <v>0</v>
      </c>
      <c r="D20" s="262">
        <f>D21</f>
        <v>-167007.1</v>
      </c>
      <c r="E20" s="139"/>
      <c r="F20" s="139"/>
    </row>
    <row r="21" spans="1:6" s="148" customFormat="1" ht="25.5">
      <c r="A21" s="154" t="s">
        <v>239</v>
      </c>
      <c r="B21" s="158" t="s">
        <v>240</v>
      </c>
      <c r="C21" s="262">
        <v>0</v>
      </c>
      <c r="D21" s="263">
        <v>-167007.1</v>
      </c>
      <c r="E21" s="139"/>
      <c r="F21" s="139"/>
    </row>
    <row r="22" spans="1:6" s="148" customFormat="1" ht="12.75">
      <c r="A22" s="154" t="s">
        <v>241</v>
      </c>
      <c r="B22" s="158" t="s">
        <v>242</v>
      </c>
      <c r="C22" s="262">
        <f>C25</f>
        <v>-3573.8</v>
      </c>
      <c r="D22" s="262">
        <f>D25</f>
        <v>161035.4</v>
      </c>
      <c r="E22" s="139"/>
      <c r="F22" s="139"/>
    </row>
    <row r="23" spans="1:6" s="148" customFormat="1" ht="25.5">
      <c r="A23" s="154" t="s">
        <v>243</v>
      </c>
      <c r="B23" s="158" t="s">
        <v>55</v>
      </c>
      <c r="C23" s="262">
        <f>C25</f>
        <v>-3573.8</v>
      </c>
      <c r="D23" s="262">
        <f>D25</f>
        <v>161035.4</v>
      </c>
      <c r="E23" s="139"/>
      <c r="F23" s="139"/>
    </row>
    <row r="24" spans="1:6" s="148" customFormat="1" ht="25.5">
      <c r="A24" s="154" t="s">
        <v>244</v>
      </c>
      <c r="B24" s="158" t="s">
        <v>245</v>
      </c>
      <c r="C24" s="262">
        <f>C25</f>
        <v>-3573.8</v>
      </c>
      <c r="D24" s="262">
        <f>D25</f>
        <v>161035.4</v>
      </c>
      <c r="E24" s="139"/>
      <c r="F24" s="139"/>
    </row>
    <row r="25" spans="1:6" s="148" customFormat="1" ht="25.5">
      <c r="A25" s="154" t="s">
        <v>246</v>
      </c>
      <c r="B25" s="158" t="s">
        <v>247</v>
      </c>
      <c r="C25" s="262">
        <v>-3573.8</v>
      </c>
      <c r="D25" s="271">
        <v>161035.4</v>
      </c>
      <c r="E25" s="139"/>
      <c r="F25" s="139"/>
    </row>
    <row r="26" spans="1:6" s="148" customFormat="1" ht="12.75">
      <c r="A26" s="154"/>
      <c r="B26" s="155"/>
      <c r="C26" s="261"/>
      <c r="D26" s="262"/>
      <c r="E26" s="139"/>
      <c r="F26" s="139"/>
    </row>
    <row r="27" spans="1:6" s="148" customFormat="1" ht="12.75">
      <c r="A27" s="154"/>
      <c r="B27" s="155"/>
      <c r="C27" s="261"/>
      <c r="D27" s="262"/>
      <c r="E27" s="139"/>
      <c r="F27" s="139"/>
    </row>
    <row r="28" spans="1:6" s="148" customFormat="1" ht="12.75">
      <c r="A28" s="156" t="s">
        <v>248</v>
      </c>
      <c r="B28" s="156"/>
      <c r="C28" s="264">
        <f>C14+C17</f>
        <v>-3573.8</v>
      </c>
      <c r="D28" s="264">
        <f>D14+D17</f>
        <v>-5971.700000000012</v>
      </c>
      <c r="E28" s="139"/>
      <c r="F28" s="139"/>
    </row>
    <row r="29" spans="1:6" s="148" customFormat="1" ht="12.75">
      <c r="A29" s="139"/>
      <c r="B29" s="139"/>
      <c r="C29" s="141"/>
      <c r="D29" s="141"/>
      <c r="E29" s="139"/>
      <c r="F29" s="139"/>
    </row>
    <row r="30" spans="3:4" s="148" customFormat="1" ht="12.75">
      <c r="C30" s="159"/>
      <c r="D30" s="159"/>
    </row>
  </sheetData>
  <sheetProtection/>
  <mergeCells count="11">
    <mergeCell ref="A9:D9"/>
    <mergeCell ref="A11:A12"/>
    <mergeCell ref="B11:B12"/>
    <mergeCell ref="C11:C12"/>
    <mergeCell ref="D11:D12"/>
    <mergeCell ref="C1:D1"/>
    <mergeCell ref="C2:D2"/>
    <mergeCell ref="C4:D4"/>
    <mergeCell ref="A7:D7"/>
    <mergeCell ref="C3:D3"/>
    <mergeCell ref="A8:D8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26"/>
  <sheetViews>
    <sheetView zoomScaleSheetLayoutView="100" zoomScalePageLayoutView="0" workbookViewId="0" topLeftCell="A4">
      <selection activeCell="E16" sqref="E16"/>
    </sheetView>
  </sheetViews>
  <sheetFormatPr defaultColWidth="9.00390625" defaultRowHeight="12.75"/>
  <cols>
    <col min="1" max="1" width="26.75390625" style="0" customWidth="1"/>
    <col min="2" max="2" width="8.375" style="0" customWidth="1"/>
    <col min="3" max="3" width="21.875" style="0" customWidth="1"/>
    <col min="4" max="4" width="13.875" style="0" customWidth="1"/>
    <col min="5" max="5" width="16.375" style="0" customWidth="1"/>
  </cols>
  <sheetData>
    <row r="1" spans="4:6" ht="12.75">
      <c r="D1" s="357" t="s">
        <v>142</v>
      </c>
      <c r="E1" s="358"/>
      <c r="F1" s="358"/>
    </row>
    <row r="2" spans="4:6" ht="12.75">
      <c r="D2" s="357" t="s">
        <v>196</v>
      </c>
      <c r="E2" s="358"/>
      <c r="F2" s="358"/>
    </row>
    <row r="3" spans="4:6" ht="12.75">
      <c r="D3" s="357"/>
      <c r="E3" s="358"/>
      <c r="F3" s="358"/>
    </row>
    <row r="4" spans="4:6" ht="12.75">
      <c r="D4" s="357" t="s">
        <v>117</v>
      </c>
      <c r="E4" s="358"/>
      <c r="F4" s="358"/>
    </row>
    <row r="5" spans="4:6" ht="12.75">
      <c r="D5" s="357" t="s">
        <v>188</v>
      </c>
      <c r="E5" s="358"/>
      <c r="F5" s="358"/>
    </row>
    <row r="7" spans="1:6" ht="19.5" customHeight="1">
      <c r="A7" s="355" t="s">
        <v>143</v>
      </c>
      <c r="B7" s="355"/>
      <c r="C7" s="356"/>
      <c r="D7" s="356"/>
      <c r="E7" s="356"/>
      <c r="F7" s="1"/>
    </row>
    <row r="8" spans="1:6" ht="12.75" customHeight="1">
      <c r="A8" s="365" t="s">
        <v>144</v>
      </c>
      <c r="B8" s="365"/>
      <c r="C8" s="366"/>
      <c r="D8" s="366"/>
      <c r="E8" s="366"/>
      <c r="F8" s="1"/>
    </row>
    <row r="9" spans="1:6" ht="17.25" customHeight="1">
      <c r="A9" s="365" t="s">
        <v>187</v>
      </c>
      <c r="B9" s="365"/>
      <c r="C9" s="366"/>
      <c r="D9" s="366"/>
      <c r="E9" s="366"/>
      <c r="F9" s="1"/>
    </row>
    <row r="10" spans="1:6" ht="16.5" customHeight="1">
      <c r="A10" s="365" t="s">
        <v>213</v>
      </c>
      <c r="B10" s="365"/>
      <c r="C10" s="366"/>
      <c r="D10" s="366"/>
      <c r="E10" s="366"/>
      <c r="F10" s="78"/>
    </row>
    <row r="11" ht="13.5" customHeight="1">
      <c r="E11" s="11" t="s">
        <v>41</v>
      </c>
    </row>
    <row r="12" spans="1:5" ht="18" customHeight="1">
      <c r="A12" s="363" t="s">
        <v>185</v>
      </c>
      <c r="B12" s="359" t="s">
        <v>179</v>
      </c>
      <c r="C12" s="360"/>
      <c r="D12" s="361" t="s">
        <v>181</v>
      </c>
      <c r="E12" s="361" t="s">
        <v>182</v>
      </c>
    </row>
    <row r="13" spans="1:6" ht="108.75" customHeight="1">
      <c r="A13" s="364"/>
      <c r="B13" s="5" t="s">
        <v>180</v>
      </c>
      <c r="C13" s="5" t="s">
        <v>186</v>
      </c>
      <c r="D13" s="362"/>
      <c r="E13" s="362"/>
      <c r="F13" s="10"/>
    </row>
    <row r="14" spans="1:6" ht="20.25" customHeight="1">
      <c r="A14" s="5" t="s">
        <v>132</v>
      </c>
      <c r="B14" s="5"/>
      <c r="C14" s="5" t="s">
        <v>131</v>
      </c>
      <c r="D14" s="121">
        <f>D17+D18</f>
        <v>-542.9000000000015</v>
      </c>
      <c r="E14" s="121">
        <f>E17+E18</f>
        <v>-1096</v>
      </c>
      <c r="F14" s="10"/>
    </row>
    <row r="15" spans="1:6" ht="76.5">
      <c r="A15" s="69" t="s">
        <v>113</v>
      </c>
      <c r="B15" s="69">
        <v>156</v>
      </c>
      <c r="C15" s="69" t="s">
        <v>183</v>
      </c>
      <c r="D15" s="122">
        <v>1000</v>
      </c>
      <c r="E15" s="122">
        <v>1000</v>
      </c>
      <c r="F15" s="10"/>
    </row>
    <row r="16" spans="1:6" ht="65.25" customHeight="1">
      <c r="A16" s="69" t="s">
        <v>114</v>
      </c>
      <c r="B16" s="69">
        <v>156</v>
      </c>
      <c r="C16" s="69" t="s">
        <v>184</v>
      </c>
      <c r="D16" s="123">
        <v>-2030</v>
      </c>
      <c r="E16" s="123">
        <v>-2030</v>
      </c>
      <c r="F16" s="10"/>
    </row>
    <row r="17" spans="1:6" ht="18" customHeight="1">
      <c r="A17" s="69" t="s">
        <v>115</v>
      </c>
      <c r="B17" s="69"/>
      <c r="C17" s="5"/>
      <c r="D17" s="123">
        <f>D16+D15</f>
        <v>-1030</v>
      </c>
      <c r="E17" s="123">
        <f>E16+E15</f>
        <v>-1030</v>
      </c>
      <c r="F17" s="10"/>
    </row>
    <row r="18" spans="1:6" ht="38.25">
      <c r="A18" s="70" t="s">
        <v>43</v>
      </c>
      <c r="B18" s="69">
        <v>156</v>
      </c>
      <c r="C18" s="69" t="s">
        <v>44</v>
      </c>
      <c r="D18" s="123">
        <f>D19</f>
        <v>487.09999999999854</v>
      </c>
      <c r="E18" s="122">
        <f>E19</f>
        <v>-66</v>
      </c>
      <c r="F18" s="10"/>
    </row>
    <row r="19" spans="1:6" ht="36" customHeight="1">
      <c r="A19" s="70" t="s">
        <v>45</v>
      </c>
      <c r="B19" s="69">
        <v>156</v>
      </c>
      <c r="C19" s="69" t="s">
        <v>46</v>
      </c>
      <c r="D19" s="123">
        <f>D20+D23</f>
        <v>487.09999999999854</v>
      </c>
      <c r="E19" s="122">
        <f>E20+E23</f>
        <v>-66</v>
      </c>
      <c r="F19" s="10"/>
    </row>
    <row r="20" spans="1:6" ht="29.25" customHeight="1">
      <c r="A20" s="70" t="s">
        <v>47</v>
      </c>
      <c r="B20" s="69">
        <v>156</v>
      </c>
      <c r="C20" s="69" t="s">
        <v>48</v>
      </c>
      <c r="D20" s="124">
        <v>-45984.4</v>
      </c>
      <c r="E20" s="124">
        <v>-45956.7</v>
      </c>
      <c r="F20" s="10"/>
    </row>
    <row r="21" spans="1:6" ht="41.25" customHeight="1">
      <c r="A21" s="70" t="s">
        <v>49</v>
      </c>
      <c r="B21" s="69">
        <v>156</v>
      </c>
      <c r="C21" s="69" t="s">
        <v>50</v>
      </c>
      <c r="D21" s="123">
        <f>D20</f>
        <v>-45984.4</v>
      </c>
      <c r="E21" s="122">
        <f>E20</f>
        <v>-45956.7</v>
      </c>
      <c r="F21" s="10"/>
    </row>
    <row r="22" spans="1:6" ht="25.5">
      <c r="A22" s="70" t="s">
        <v>51</v>
      </c>
      <c r="B22" s="69">
        <v>156</v>
      </c>
      <c r="C22" s="69" t="s">
        <v>52</v>
      </c>
      <c r="D22" s="123">
        <f>D20</f>
        <v>-45984.4</v>
      </c>
      <c r="E22" s="122">
        <f>E20</f>
        <v>-45956.7</v>
      </c>
      <c r="F22" s="10"/>
    </row>
    <row r="23" spans="1:6" ht="25.5">
      <c r="A23" s="70" t="s">
        <v>53</v>
      </c>
      <c r="B23" s="69">
        <v>156</v>
      </c>
      <c r="C23" s="69" t="s">
        <v>54</v>
      </c>
      <c r="D23" s="125">
        <v>46471.5</v>
      </c>
      <c r="E23" s="125">
        <v>45890.7</v>
      </c>
      <c r="F23" s="10"/>
    </row>
    <row r="24" spans="1:6" ht="25.5">
      <c r="A24" s="70" t="s">
        <v>55</v>
      </c>
      <c r="B24" s="69">
        <v>156</v>
      </c>
      <c r="C24" s="69" t="s">
        <v>56</v>
      </c>
      <c r="D24" s="123">
        <f aca="true" t="shared" si="0" ref="D24:E26">D23</f>
        <v>46471.5</v>
      </c>
      <c r="E24" s="122">
        <f t="shared" si="0"/>
        <v>45890.7</v>
      </c>
      <c r="F24" s="10"/>
    </row>
    <row r="25" spans="1:6" ht="25.5">
      <c r="A25" s="70" t="s">
        <v>57</v>
      </c>
      <c r="B25" s="69">
        <v>156</v>
      </c>
      <c r="C25" s="69" t="s">
        <v>58</v>
      </c>
      <c r="D25" s="123">
        <f t="shared" si="0"/>
        <v>46471.5</v>
      </c>
      <c r="E25" s="122">
        <f t="shared" si="0"/>
        <v>45890.7</v>
      </c>
      <c r="F25" s="10"/>
    </row>
    <row r="26" spans="1:6" ht="38.25">
      <c r="A26" s="70" t="s">
        <v>59</v>
      </c>
      <c r="B26" s="69">
        <v>156</v>
      </c>
      <c r="C26" s="69" t="s">
        <v>60</v>
      </c>
      <c r="D26" s="123">
        <f t="shared" si="0"/>
        <v>46471.5</v>
      </c>
      <c r="E26" s="122">
        <f t="shared" si="0"/>
        <v>45890.7</v>
      </c>
      <c r="F26" s="10"/>
    </row>
  </sheetData>
  <sheetProtection/>
  <mergeCells count="13">
    <mergeCell ref="B12:C12"/>
    <mergeCell ref="D12:D13"/>
    <mergeCell ref="E12:E13"/>
    <mergeCell ref="A12:A13"/>
    <mergeCell ref="A10:E10"/>
    <mergeCell ref="A8:E8"/>
    <mergeCell ref="A9:E9"/>
    <mergeCell ref="A7:E7"/>
    <mergeCell ref="D1:F1"/>
    <mergeCell ref="D2:F2"/>
    <mergeCell ref="D3:F3"/>
    <mergeCell ref="D4:F4"/>
    <mergeCell ref="D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E26"/>
  <sheetViews>
    <sheetView zoomScaleSheetLayoutView="100" zoomScalePageLayoutView="0" workbookViewId="0" topLeftCell="A10">
      <selection activeCell="A10" sqref="A10:D10"/>
    </sheetView>
  </sheetViews>
  <sheetFormatPr defaultColWidth="9.00390625" defaultRowHeight="12.75"/>
  <cols>
    <col min="1" max="1" width="30.00390625" style="0" customWidth="1"/>
    <col min="2" max="2" width="24.125" style="0" customWidth="1"/>
    <col min="3" max="3" width="13.875" style="0" customWidth="1"/>
    <col min="4" max="4" width="20.00390625" style="0" customWidth="1"/>
  </cols>
  <sheetData>
    <row r="1" spans="3:5" ht="12.75">
      <c r="C1" s="357" t="s">
        <v>142</v>
      </c>
      <c r="D1" s="358"/>
      <c r="E1" s="358"/>
    </row>
    <row r="2" spans="3:5" ht="12.75">
      <c r="C2" s="357" t="s">
        <v>196</v>
      </c>
      <c r="D2" s="358"/>
      <c r="E2" s="358"/>
    </row>
    <row r="3" spans="3:5" ht="12.75">
      <c r="C3" s="357"/>
      <c r="D3" s="358"/>
      <c r="E3" s="358"/>
    </row>
    <row r="4" spans="3:5" ht="12.75">
      <c r="C4" s="357" t="s">
        <v>117</v>
      </c>
      <c r="D4" s="358"/>
      <c r="E4" s="358"/>
    </row>
    <row r="5" spans="3:5" ht="12.75">
      <c r="C5" s="357" t="s">
        <v>189</v>
      </c>
      <c r="D5" s="358"/>
      <c r="E5" s="358"/>
    </row>
    <row r="7" spans="1:5" ht="19.5" customHeight="1">
      <c r="A7" s="355" t="s">
        <v>143</v>
      </c>
      <c r="B7" s="356"/>
      <c r="C7" s="356"/>
      <c r="D7" s="356"/>
      <c r="E7" s="82"/>
    </row>
    <row r="8" spans="1:5" ht="12.75" customHeight="1">
      <c r="A8" s="365" t="s">
        <v>144</v>
      </c>
      <c r="B8" s="366"/>
      <c r="C8" s="366"/>
      <c r="D8" s="366"/>
      <c r="E8" s="82"/>
    </row>
    <row r="9" spans="1:5" ht="17.25" customHeight="1">
      <c r="A9" s="365" t="s">
        <v>190</v>
      </c>
      <c r="B9" s="366"/>
      <c r="C9" s="366"/>
      <c r="D9" s="366"/>
      <c r="E9" s="82"/>
    </row>
    <row r="10" spans="1:5" ht="42" customHeight="1">
      <c r="A10" s="365" t="s">
        <v>214</v>
      </c>
      <c r="B10" s="366"/>
      <c r="C10" s="366"/>
      <c r="D10" s="366"/>
      <c r="E10" s="82"/>
    </row>
    <row r="11" ht="12" customHeight="1">
      <c r="D11" s="11" t="s">
        <v>41</v>
      </c>
    </row>
    <row r="12" spans="1:4" ht="23.25" customHeight="1">
      <c r="A12" s="361" t="s">
        <v>191</v>
      </c>
      <c r="B12" s="84" t="s">
        <v>179</v>
      </c>
      <c r="C12" s="361" t="s">
        <v>181</v>
      </c>
      <c r="D12" s="361" t="s">
        <v>182</v>
      </c>
    </row>
    <row r="13" spans="1:5" ht="90" customHeight="1">
      <c r="A13" s="362"/>
      <c r="B13" s="5" t="s">
        <v>186</v>
      </c>
      <c r="C13" s="367"/>
      <c r="D13" s="362"/>
      <c r="E13" s="10"/>
    </row>
    <row r="14" spans="1:5" ht="18.75" customHeight="1">
      <c r="A14" s="5" t="s">
        <v>132</v>
      </c>
      <c r="B14" s="5" t="s">
        <v>131</v>
      </c>
      <c r="C14" s="121">
        <f>C17+C18</f>
        <v>-542.9000000000015</v>
      </c>
      <c r="D14" s="121">
        <f>D17+D18</f>
        <v>-1096</v>
      </c>
      <c r="E14" s="10"/>
    </row>
    <row r="15" spans="1:5" ht="63.75">
      <c r="A15" s="69" t="s">
        <v>113</v>
      </c>
      <c r="B15" s="69" t="s">
        <v>111</v>
      </c>
      <c r="C15" s="122">
        <v>1000</v>
      </c>
      <c r="D15" s="122">
        <v>1000</v>
      </c>
      <c r="E15" s="10"/>
    </row>
    <row r="16" spans="1:5" ht="65.25" customHeight="1">
      <c r="A16" s="69" t="s">
        <v>114</v>
      </c>
      <c r="B16" s="69" t="s">
        <v>112</v>
      </c>
      <c r="C16" s="123">
        <v>-2030</v>
      </c>
      <c r="D16" s="123">
        <v>-2030</v>
      </c>
      <c r="E16" s="10"/>
    </row>
    <row r="17" spans="1:5" ht="16.5" customHeight="1">
      <c r="A17" s="69" t="s">
        <v>115</v>
      </c>
      <c r="B17" s="5"/>
      <c r="C17" s="123">
        <f>C16+C15</f>
        <v>-1030</v>
      </c>
      <c r="D17" s="123">
        <f>D16+D15</f>
        <v>-1030</v>
      </c>
      <c r="E17" s="10"/>
    </row>
    <row r="18" spans="1:5" ht="38.25">
      <c r="A18" s="70" t="s">
        <v>43</v>
      </c>
      <c r="B18" s="69" t="s">
        <v>44</v>
      </c>
      <c r="C18" s="123">
        <f>C19</f>
        <v>487.09999999999854</v>
      </c>
      <c r="D18" s="122">
        <f>D19</f>
        <v>-66</v>
      </c>
      <c r="E18" s="10"/>
    </row>
    <row r="19" spans="1:5" ht="33.75" customHeight="1">
      <c r="A19" s="70" t="s">
        <v>45</v>
      </c>
      <c r="B19" s="69" t="s">
        <v>46</v>
      </c>
      <c r="C19" s="123">
        <f>C20+C23</f>
        <v>487.09999999999854</v>
      </c>
      <c r="D19" s="122">
        <f>D20+D23</f>
        <v>-66</v>
      </c>
      <c r="E19" s="10"/>
    </row>
    <row r="20" spans="1:5" ht="27" customHeight="1">
      <c r="A20" s="70" t="s">
        <v>47</v>
      </c>
      <c r="B20" s="69" t="s">
        <v>48</v>
      </c>
      <c r="C20" s="124">
        <v>-45984.4</v>
      </c>
      <c r="D20" s="124">
        <v>-45956.7</v>
      </c>
      <c r="E20" s="10"/>
    </row>
    <row r="21" spans="1:5" ht="27.75" customHeight="1">
      <c r="A21" s="70" t="s">
        <v>49</v>
      </c>
      <c r="B21" s="69" t="s">
        <v>50</v>
      </c>
      <c r="C21" s="123">
        <f>C20</f>
        <v>-45984.4</v>
      </c>
      <c r="D21" s="122">
        <f>D20</f>
        <v>-45956.7</v>
      </c>
      <c r="E21" s="10"/>
    </row>
    <row r="22" spans="1:5" ht="25.5">
      <c r="A22" s="70" t="s">
        <v>51</v>
      </c>
      <c r="B22" s="69" t="s">
        <v>52</v>
      </c>
      <c r="C22" s="123">
        <f>C20</f>
        <v>-45984.4</v>
      </c>
      <c r="D22" s="122">
        <f>D20</f>
        <v>-45956.7</v>
      </c>
      <c r="E22" s="10"/>
    </row>
    <row r="23" spans="1:5" ht="25.5">
      <c r="A23" s="70" t="s">
        <v>53</v>
      </c>
      <c r="B23" s="69" t="s">
        <v>54</v>
      </c>
      <c r="C23" s="125">
        <v>46471.5</v>
      </c>
      <c r="D23" s="125">
        <v>45890.7</v>
      </c>
      <c r="E23" s="10"/>
    </row>
    <row r="24" spans="1:5" ht="25.5">
      <c r="A24" s="70" t="s">
        <v>55</v>
      </c>
      <c r="B24" s="69" t="s">
        <v>56</v>
      </c>
      <c r="C24" s="123">
        <f aca="true" t="shared" si="0" ref="C24:D26">C23</f>
        <v>46471.5</v>
      </c>
      <c r="D24" s="122">
        <f t="shared" si="0"/>
        <v>45890.7</v>
      </c>
      <c r="E24" s="10"/>
    </row>
    <row r="25" spans="1:5" ht="25.5">
      <c r="A25" s="70" t="s">
        <v>57</v>
      </c>
      <c r="B25" s="69" t="s">
        <v>58</v>
      </c>
      <c r="C25" s="123">
        <f t="shared" si="0"/>
        <v>46471.5</v>
      </c>
      <c r="D25" s="122">
        <f t="shared" si="0"/>
        <v>45890.7</v>
      </c>
      <c r="E25" s="10"/>
    </row>
    <row r="26" spans="1:5" ht="38.25">
      <c r="A26" s="70" t="s">
        <v>59</v>
      </c>
      <c r="B26" s="69" t="s">
        <v>60</v>
      </c>
      <c r="C26" s="123">
        <f t="shared" si="0"/>
        <v>46471.5</v>
      </c>
      <c r="D26" s="122">
        <f t="shared" si="0"/>
        <v>45890.7</v>
      </c>
      <c r="E26" s="10"/>
    </row>
  </sheetData>
  <sheetProtection/>
  <mergeCells count="12">
    <mergeCell ref="A12:A13"/>
    <mergeCell ref="D12:D13"/>
    <mergeCell ref="C12:C13"/>
    <mergeCell ref="A8:D8"/>
    <mergeCell ref="A9:D9"/>
    <mergeCell ref="A10:D10"/>
    <mergeCell ref="C1:E1"/>
    <mergeCell ref="C2:E2"/>
    <mergeCell ref="C3:E3"/>
    <mergeCell ref="C4:E4"/>
    <mergeCell ref="C5:E5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69"/>
  <sheetViews>
    <sheetView zoomScaleSheetLayoutView="100" zoomScalePageLayoutView="0" workbookViewId="0" topLeftCell="A1">
      <selection activeCell="B21" sqref="B21"/>
    </sheetView>
  </sheetViews>
  <sheetFormatPr defaultColWidth="9.00390625" defaultRowHeight="12.75"/>
  <cols>
    <col min="1" max="1" width="24.25390625" style="3" customWidth="1"/>
    <col min="2" max="2" width="41.75390625" style="3" customWidth="1"/>
    <col min="3" max="3" width="13.00390625" style="3" customWidth="1"/>
    <col min="4" max="4" width="13.125" style="280" customWidth="1"/>
    <col min="5" max="5" width="14.00390625" style="3" hidden="1" customWidth="1"/>
    <col min="6" max="7" width="9.125" style="2" customWidth="1"/>
  </cols>
  <sheetData>
    <row r="1" spans="2:5" ht="15.75">
      <c r="B1" s="379" t="s">
        <v>76</v>
      </c>
      <c r="C1" s="380"/>
      <c r="D1" s="380"/>
      <c r="E1" s="380"/>
    </row>
    <row r="2" spans="2:5" ht="15.75" customHeight="1">
      <c r="B2" s="357" t="s">
        <v>352</v>
      </c>
      <c r="C2" s="380"/>
      <c r="D2" s="380"/>
      <c r="E2" s="380"/>
    </row>
    <row r="3" spans="2:5" ht="15.75">
      <c r="B3" s="357" t="s">
        <v>351</v>
      </c>
      <c r="C3" s="380"/>
      <c r="D3" s="380"/>
      <c r="E3" s="380"/>
    </row>
    <row r="4" spans="2:5" ht="15.75" customHeight="1">
      <c r="B4" s="379" t="s">
        <v>77</v>
      </c>
      <c r="C4" s="380"/>
      <c r="D4" s="380"/>
      <c r="E4" s="380"/>
    </row>
    <row r="5" spans="2:5" ht="15.75" customHeight="1">
      <c r="B5" s="357" t="s">
        <v>249</v>
      </c>
      <c r="C5" s="380"/>
      <c r="D5" s="380"/>
      <c r="E5" s="380"/>
    </row>
    <row r="6" spans="3:5" ht="8.25" customHeight="1">
      <c r="C6" s="6"/>
      <c r="D6" s="274"/>
      <c r="E6" s="7"/>
    </row>
    <row r="7" spans="1:5" ht="15.75">
      <c r="A7" s="377" t="s">
        <v>141</v>
      </c>
      <c r="B7" s="378"/>
      <c r="C7" s="378"/>
      <c r="D7" s="378"/>
      <c r="E7" s="378"/>
    </row>
    <row r="8" spans="1:8" ht="59.25" customHeight="1">
      <c r="A8" s="375" t="s">
        <v>356</v>
      </c>
      <c r="B8" s="376"/>
      <c r="C8" s="376"/>
      <c r="D8" s="376"/>
      <c r="E8" s="376"/>
      <c r="H8" s="85"/>
    </row>
    <row r="9" ht="17.25" customHeight="1">
      <c r="D9" s="275" t="s">
        <v>73</v>
      </c>
    </row>
    <row r="10" spans="1:5" ht="2.25" customHeight="1">
      <c r="A10" s="368" t="s">
        <v>179</v>
      </c>
      <c r="B10" s="361" t="s">
        <v>12</v>
      </c>
      <c r="C10" s="368" t="s">
        <v>181</v>
      </c>
      <c r="D10" s="372" t="s">
        <v>192</v>
      </c>
      <c r="E10" s="369" t="s">
        <v>63</v>
      </c>
    </row>
    <row r="11" spans="1:5" ht="7.5" customHeight="1">
      <c r="A11" s="368"/>
      <c r="B11" s="370"/>
      <c r="C11" s="368"/>
      <c r="D11" s="373"/>
      <c r="E11" s="369"/>
    </row>
    <row r="12" spans="1:5" ht="16.5" customHeight="1">
      <c r="A12" s="368"/>
      <c r="B12" s="371"/>
      <c r="C12" s="368"/>
      <c r="D12" s="374"/>
      <c r="E12" s="369"/>
    </row>
    <row r="13" spans="1:5" ht="15.75" customHeight="1">
      <c r="A13" s="8"/>
      <c r="B13" s="21" t="s">
        <v>0</v>
      </c>
      <c r="C13" s="75">
        <f>C14+C49</f>
        <v>168453.59999999998</v>
      </c>
      <c r="D13" s="75">
        <f>D14+D49</f>
        <v>166592.59999999998</v>
      </c>
      <c r="E13" s="24">
        <f>D13/C13*100</f>
        <v>98.89524474395323</v>
      </c>
    </row>
    <row r="14" spans="1:5" ht="15.75">
      <c r="A14" s="5" t="s">
        <v>1</v>
      </c>
      <c r="B14" s="16" t="s">
        <v>2</v>
      </c>
      <c r="C14" s="76">
        <f>C15+C22+C24+C26+C31+C37+C39+C42+C46</f>
        <v>27135.4</v>
      </c>
      <c r="D14" s="76">
        <f>D15+D22+D24+D26+D31+D37+D39+D42+D46</f>
        <v>27719.899999999994</v>
      </c>
      <c r="E14" s="25">
        <f>D14/C14*100</f>
        <v>102.15401283931689</v>
      </c>
    </row>
    <row r="15" spans="1:7" s="4" customFormat="1" ht="19.5" customHeight="1">
      <c r="A15" s="12" t="s">
        <v>3</v>
      </c>
      <c r="B15" s="17" t="s">
        <v>4</v>
      </c>
      <c r="C15" s="76">
        <f>C16</f>
        <v>14935</v>
      </c>
      <c r="D15" s="76">
        <f>D16</f>
        <v>15008.4</v>
      </c>
      <c r="E15" s="25">
        <f>D15/C15*100</f>
        <v>100.49146300636089</v>
      </c>
      <c r="F15" s="13"/>
      <c r="G15" s="13"/>
    </row>
    <row r="16" spans="1:7" ht="17.25" customHeight="1">
      <c r="A16" s="9" t="s">
        <v>81</v>
      </c>
      <c r="B16" s="18" t="s">
        <v>5</v>
      </c>
      <c r="C16" s="77">
        <f>C18+C19+C20+C21</f>
        <v>14935</v>
      </c>
      <c r="D16" s="77">
        <f>D18+D19+D20+D21</f>
        <v>15008.4</v>
      </c>
      <c r="E16" s="26">
        <f>D16/C16*100</f>
        <v>100.49146300636089</v>
      </c>
      <c r="F16" s="14"/>
      <c r="G16" s="14"/>
    </row>
    <row r="17" spans="1:7" ht="13.5" customHeight="1">
      <c r="A17" s="79"/>
      <c r="B17" s="80" t="s">
        <v>134</v>
      </c>
      <c r="C17" s="81"/>
      <c r="D17" s="276"/>
      <c r="E17" s="26"/>
      <c r="F17" s="14"/>
      <c r="G17" s="14"/>
    </row>
    <row r="18" spans="1:7" ht="66" customHeight="1">
      <c r="A18" s="79" t="s">
        <v>138</v>
      </c>
      <c r="B18" s="80" t="s">
        <v>135</v>
      </c>
      <c r="C18" s="265">
        <f>14707-35</f>
        <v>14672</v>
      </c>
      <c r="D18" s="276">
        <v>14739.4</v>
      </c>
      <c r="E18" s="26"/>
      <c r="F18" s="14"/>
      <c r="G18" s="14"/>
    </row>
    <row r="19" spans="1:7" ht="87.75" customHeight="1">
      <c r="A19" s="79" t="s">
        <v>139</v>
      </c>
      <c r="B19" s="80" t="s">
        <v>136</v>
      </c>
      <c r="C19" s="265">
        <f>50+10+20+70</f>
        <v>150</v>
      </c>
      <c r="D19" s="276">
        <v>150.6</v>
      </c>
      <c r="E19" s="26"/>
      <c r="F19" s="14"/>
      <c r="G19" s="14"/>
    </row>
    <row r="20" spans="1:7" ht="49.5" customHeight="1">
      <c r="A20" s="79" t="s">
        <v>140</v>
      </c>
      <c r="B20" s="80" t="s">
        <v>137</v>
      </c>
      <c r="C20" s="265">
        <f>50-10+15+10</f>
        <v>65</v>
      </c>
      <c r="D20" s="276">
        <v>68.8</v>
      </c>
      <c r="E20" s="26"/>
      <c r="F20" s="14"/>
      <c r="G20" s="14"/>
    </row>
    <row r="21" spans="1:7" ht="141.75" customHeight="1">
      <c r="A21" s="79" t="s">
        <v>433</v>
      </c>
      <c r="B21" s="266" t="s">
        <v>434</v>
      </c>
      <c r="C21" s="265">
        <v>48</v>
      </c>
      <c r="D21" s="276">
        <v>49.6</v>
      </c>
      <c r="E21" s="26"/>
      <c r="F21" s="14"/>
      <c r="G21" s="14"/>
    </row>
    <row r="22" spans="1:7" ht="47.25" customHeight="1">
      <c r="A22" s="12" t="s">
        <v>82</v>
      </c>
      <c r="B22" s="17" t="s">
        <v>84</v>
      </c>
      <c r="C22" s="76">
        <f>C23</f>
        <v>2400</v>
      </c>
      <c r="D22" s="76">
        <f>D23</f>
        <v>2432.6</v>
      </c>
      <c r="E22" s="26"/>
      <c r="F22" s="14"/>
      <c r="G22" s="14"/>
    </row>
    <row r="23" spans="1:7" ht="40.5" customHeight="1">
      <c r="A23" s="9" t="s">
        <v>83</v>
      </c>
      <c r="B23" s="18" t="s">
        <v>85</v>
      </c>
      <c r="C23" s="265">
        <f>2218+182</f>
        <v>2400</v>
      </c>
      <c r="D23" s="77">
        <v>2432.6</v>
      </c>
      <c r="E23" s="26"/>
      <c r="F23" s="14"/>
      <c r="G23" s="14"/>
    </row>
    <row r="24" spans="1:7" ht="21" customHeight="1">
      <c r="A24" s="12" t="s">
        <v>125</v>
      </c>
      <c r="B24" s="17" t="s">
        <v>129</v>
      </c>
      <c r="C24" s="76">
        <f>C25</f>
        <v>31.3</v>
      </c>
      <c r="D24" s="76">
        <f>D25</f>
        <v>31.3</v>
      </c>
      <c r="E24" s="26"/>
      <c r="F24" s="14"/>
      <c r="G24" s="14"/>
    </row>
    <row r="25" spans="1:7" ht="16.5" customHeight="1">
      <c r="A25" s="67" t="s">
        <v>126</v>
      </c>
      <c r="B25" s="74" t="s">
        <v>127</v>
      </c>
      <c r="C25" s="265">
        <f>25.8+5+0.5</f>
        <v>31.3</v>
      </c>
      <c r="D25" s="77">
        <v>31.3</v>
      </c>
      <c r="E25" s="26"/>
      <c r="F25" s="14"/>
      <c r="G25" s="14"/>
    </row>
    <row r="26" spans="1:7" ht="15.75" customHeight="1">
      <c r="A26" s="12" t="s">
        <v>6</v>
      </c>
      <c r="B26" s="17" t="s">
        <v>86</v>
      </c>
      <c r="C26" s="76">
        <f>C27+C28</f>
        <v>7599.7</v>
      </c>
      <c r="D26" s="76">
        <f>D27+D28</f>
        <v>8020</v>
      </c>
      <c r="E26" s="25">
        <f aca="true" t="shared" si="0" ref="E26:E32">D26/C26*100</f>
        <v>105.53048146637367</v>
      </c>
      <c r="F26" s="14"/>
      <c r="G26" s="14"/>
    </row>
    <row r="27" spans="1:7" ht="53.25" customHeight="1">
      <c r="A27" s="9" t="s">
        <v>87</v>
      </c>
      <c r="B27" s="18" t="s">
        <v>88</v>
      </c>
      <c r="C27" s="265">
        <f>4707-25.8-5-500-300.5+424</f>
        <v>4299.7</v>
      </c>
      <c r="D27" s="77">
        <v>4441.9</v>
      </c>
      <c r="E27" s="26">
        <f t="shared" si="0"/>
        <v>103.3072074795916</v>
      </c>
      <c r="F27" s="14"/>
      <c r="G27" s="14"/>
    </row>
    <row r="28" spans="1:7" ht="15.75" customHeight="1">
      <c r="A28" s="9" t="s">
        <v>7</v>
      </c>
      <c r="B28" s="18" t="s">
        <v>8</v>
      </c>
      <c r="C28" s="77">
        <f>C29+C30</f>
        <v>3300</v>
      </c>
      <c r="D28" s="77">
        <f>D29+D30</f>
        <v>3578.1</v>
      </c>
      <c r="E28" s="26">
        <f t="shared" si="0"/>
        <v>108.42727272727272</v>
      </c>
      <c r="F28" s="14"/>
      <c r="G28" s="14"/>
    </row>
    <row r="29" spans="1:7" ht="38.25" customHeight="1">
      <c r="A29" s="15" t="s">
        <v>90</v>
      </c>
      <c r="B29" s="19" t="s">
        <v>91</v>
      </c>
      <c r="C29" s="265">
        <f>1195+300+300+205</f>
        <v>2000</v>
      </c>
      <c r="D29" s="77">
        <v>2245</v>
      </c>
      <c r="E29" s="26">
        <f t="shared" si="0"/>
        <v>112.25</v>
      </c>
      <c r="F29" s="14"/>
      <c r="G29" s="14"/>
    </row>
    <row r="30" spans="1:7" ht="41.25" customHeight="1">
      <c r="A30" s="15" t="s">
        <v>89</v>
      </c>
      <c r="B30" s="19" t="s">
        <v>92</v>
      </c>
      <c r="C30" s="265">
        <f>1570-270</f>
        <v>1300</v>
      </c>
      <c r="D30" s="77">
        <v>1333.1</v>
      </c>
      <c r="E30" s="26">
        <f t="shared" si="0"/>
        <v>102.54615384615384</v>
      </c>
      <c r="F30" s="14"/>
      <c r="G30" s="14"/>
    </row>
    <row r="31" spans="1:7" ht="52.5" customHeight="1">
      <c r="A31" s="12" t="s">
        <v>93</v>
      </c>
      <c r="B31" s="17" t="s">
        <v>78</v>
      </c>
      <c r="C31" s="76">
        <f>SUM(C32:C36)</f>
        <v>1813.2</v>
      </c>
      <c r="D31" s="76">
        <f>SUM(D32:D36)</f>
        <v>1873.1000000000001</v>
      </c>
      <c r="E31" s="25">
        <f t="shared" si="0"/>
        <v>103.30355173174499</v>
      </c>
      <c r="F31" s="14"/>
      <c r="G31" s="14"/>
    </row>
    <row r="32" spans="1:7" ht="92.25" customHeight="1">
      <c r="A32" s="67" t="s">
        <v>94</v>
      </c>
      <c r="B32" s="18" t="s">
        <v>95</v>
      </c>
      <c r="C32" s="265">
        <f>650+50</f>
        <v>700</v>
      </c>
      <c r="D32" s="77">
        <v>707.5</v>
      </c>
      <c r="E32" s="26">
        <f t="shared" si="0"/>
        <v>101.07142857142857</v>
      </c>
      <c r="F32" s="14"/>
      <c r="G32" s="14"/>
    </row>
    <row r="33" spans="1:7" ht="78.75" customHeight="1">
      <c r="A33" s="67" t="s">
        <v>208</v>
      </c>
      <c r="B33" s="18" t="s">
        <v>209</v>
      </c>
      <c r="C33" s="265">
        <f>8+2</f>
        <v>10</v>
      </c>
      <c r="D33" s="77">
        <v>21.1</v>
      </c>
      <c r="E33" s="26"/>
      <c r="F33" s="14"/>
      <c r="G33" s="14"/>
    </row>
    <row r="34" spans="1:7" ht="48" customHeight="1">
      <c r="A34" s="67" t="s">
        <v>118</v>
      </c>
      <c r="B34" s="18" t="s">
        <v>119</v>
      </c>
      <c r="C34" s="265">
        <v>54</v>
      </c>
      <c r="D34" s="77">
        <v>53.7</v>
      </c>
      <c r="E34" s="26">
        <f>D36/C36*100</f>
        <v>104.46140614921522</v>
      </c>
      <c r="F34" s="14"/>
      <c r="G34" s="14"/>
    </row>
    <row r="35" spans="1:7" ht="115.5" customHeight="1">
      <c r="A35" s="183" t="s">
        <v>322</v>
      </c>
      <c r="B35" s="187" t="s">
        <v>323</v>
      </c>
      <c r="C35" s="265">
        <v>119</v>
      </c>
      <c r="D35" s="77">
        <v>119.1</v>
      </c>
      <c r="E35" s="26"/>
      <c r="F35" s="14"/>
      <c r="G35" s="14"/>
    </row>
    <row r="36" spans="1:7" ht="81.75" customHeight="1">
      <c r="A36" s="67" t="s">
        <v>96</v>
      </c>
      <c r="B36" s="18" t="s">
        <v>97</v>
      </c>
      <c r="C36" s="265">
        <f>828-162.8+200+65</f>
        <v>930.2</v>
      </c>
      <c r="D36" s="77">
        <v>971.7</v>
      </c>
      <c r="E36" s="26" t="e">
        <f>#REF!/#REF!*100</f>
        <v>#REF!</v>
      </c>
      <c r="F36" s="14"/>
      <c r="G36" s="14"/>
    </row>
    <row r="37" spans="1:7" ht="31.5" customHeight="1">
      <c r="A37" s="12" t="s">
        <v>258</v>
      </c>
      <c r="B37" s="163" t="s">
        <v>260</v>
      </c>
      <c r="C37" s="76">
        <f>C38</f>
        <v>42.8</v>
      </c>
      <c r="D37" s="76">
        <f>D38</f>
        <v>42.8</v>
      </c>
      <c r="E37" s="26"/>
      <c r="F37" s="14"/>
      <c r="G37" s="14"/>
    </row>
    <row r="38" spans="1:7" ht="28.5" customHeight="1">
      <c r="A38" s="67" t="s">
        <v>259</v>
      </c>
      <c r="B38" s="164" t="s">
        <v>261</v>
      </c>
      <c r="C38" s="265">
        <v>42.8</v>
      </c>
      <c r="D38" s="77">
        <v>42.8</v>
      </c>
      <c r="E38" s="26"/>
      <c r="F38" s="14"/>
      <c r="G38" s="14"/>
    </row>
    <row r="39" spans="1:7" ht="36" customHeight="1">
      <c r="A39" s="12" t="s">
        <v>99</v>
      </c>
      <c r="B39" s="17" t="s">
        <v>98</v>
      </c>
      <c r="C39" s="76">
        <f>C40+C41</f>
        <v>250</v>
      </c>
      <c r="D39" s="76">
        <f>D40+D41</f>
        <v>245.6</v>
      </c>
      <c r="E39" s="26"/>
      <c r="F39" s="14"/>
      <c r="G39" s="14"/>
    </row>
    <row r="40" spans="1:7" ht="99" customHeight="1" hidden="1">
      <c r="A40" s="67" t="s">
        <v>104</v>
      </c>
      <c r="B40" s="68" t="s">
        <v>100</v>
      </c>
      <c r="C40" s="77">
        <v>0</v>
      </c>
      <c r="D40" s="77">
        <v>0</v>
      </c>
      <c r="E40" s="26"/>
      <c r="F40" s="14"/>
      <c r="G40" s="14"/>
    </row>
    <row r="41" spans="1:7" ht="57" customHeight="1">
      <c r="A41" s="67" t="s">
        <v>105</v>
      </c>
      <c r="B41" s="18" t="s">
        <v>101</v>
      </c>
      <c r="C41" s="265">
        <f>124+126</f>
        <v>250</v>
      </c>
      <c r="D41" s="77">
        <v>245.6</v>
      </c>
      <c r="E41" s="26"/>
      <c r="F41" s="14"/>
      <c r="G41" s="14"/>
    </row>
    <row r="42" spans="1:7" ht="26.25" customHeight="1">
      <c r="A42" s="12" t="s">
        <v>103</v>
      </c>
      <c r="B42" s="17" t="s">
        <v>102</v>
      </c>
      <c r="C42" s="76">
        <f>SUM(C43:C45)</f>
        <v>63.4</v>
      </c>
      <c r="D42" s="76">
        <f>SUM(D43:D45)</f>
        <v>66.10000000000001</v>
      </c>
      <c r="E42" s="26"/>
      <c r="F42" s="14"/>
      <c r="G42" s="14"/>
    </row>
    <row r="43" spans="1:7" ht="38.25" customHeight="1">
      <c r="A43" s="183" t="s">
        <v>316</v>
      </c>
      <c r="B43" s="184" t="s">
        <v>317</v>
      </c>
      <c r="C43" s="265">
        <f>1+1</f>
        <v>2</v>
      </c>
      <c r="D43" s="276">
        <v>2.1</v>
      </c>
      <c r="E43" s="26"/>
      <c r="F43" s="14"/>
      <c r="G43" s="14"/>
    </row>
    <row r="44" spans="1:7" ht="38.25" customHeight="1">
      <c r="A44" s="183" t="s">
        <v>318</v>
      </c>
      <c r="B44" s="185" t="s">
        <v>319</v>
      </c>
      <c r="C44" s="265">
        <f>72-3-9</f>
        <v>60</v>
      </c>
      <c r="D44" s="276">
        <v>62.6</v>
      </c>
      <c r="E44" s="26"/>
      <c r="F44" s="14"/>
      <c r="G44" s="14"/>
    </row>
    <row r="45" spans="1:7" ht="154.5" customHeight="1">
      <c r="A45" s="193" t="s">
        <v>320</v>
      </c>
      <c r="B45" s="186" t="s">
        <v>321</v>
      </c>
      <c r="C45" s="265">
        <f>2-0.6</f>
        <v>1.4</v>
      </c>
      <c r="D45" s="77">
        <v>1.4</v>
      </c>
      <c r="E45" s="26"/>
      <c r="F45" s="14"/>
      <c r="G45" s="14"/>
    </row>
    <row r="46" spans="1:7" s="4" customFormat="1" ht="22.5" customHeight="1" hidden="1">
      <c r="A46" s="12" t="s">
        <v>61</v>
      </c>
      <c r="B46" s="17" t="s">
        <v>62</v>
      </c>
      <c r="C46" s="76">
        <f>C47+C48</f>
        <v>0</v>
      </c>
      <c r="D46" s="76">
        <f>D47+D48</f>
        <v>0</v>
      </c>
      <c r="E46" s="25" t="e">
        <f>D46/C46*100</f>
        <v>#DIV/0!</v>
      </c>
      <c r="F46" s="13"/>
      <c r="G46" s="13"/>
    </row>
    <row r="47" spans="1:7" s="4" customFormat="1" ht="29.25" customHeight="1" hidden="1">
      <c r="A47" s="15" t="s">
        <v>128</v>
      </c>
      <c r="B47" s="19" t="s">
        <v>130</v>
      </c>
      <c r="C47" s="77"/>
      <c r="D47" s="77"/>
      <c r="E47" s="25"/>
      <c r="F47" s="13"/>
      <c r="G47" s="13"/>
    </row>
    <row r="48" spans="1:7" ht="27.75" customHeight="1" hidden="1">
      <c r="A48" s="9" t="s">
        <v>106</v>
      </c>
      <c r="B48" s="18" t="s">
        <v>123</v>
      </c>
      <c r="C48" s="77">
        <v>0</v>
      </c>
      <c r="D48" s="77">
        <v>0</v>
      </c>
      <c r="E48" s="26" t="e">
        <f>D48/C48*100</f>
        <v>#DIV/0!</v>
      </c>
      <c r="F48" s="14"/>
      <c r="G48" s="14"/>
    </row>
    <row r="49" spans="1:5" ht="18.75" customHeight="1">
      <c r="A49" s="5" t="s">
        <v>9</v>
      </c>
      <c r="B49" s="16" t="s">
        <v>10</v>
      </c>
      <c r="C49" s="76">
        <f>C50+C61+C63+C65+C67</f>
        <v>141318.19999999998</v>
      </c>
      <c r="D49" s="76">
        <f>D50+D61+D63+D65+D67</f>
        <v>138872.69999999998</v>
      </c>
      <c r="E49" s="25">
        <f>D49/C49*100</f>
        <v>98.26950810299027</v>
      </c>
    </row>
    <row r="50" spans="1:5" ht="43.5" customHeight="1">
      <c r="A50" s="5" t="s">
        <v>11</v>
      </c>
      <c r="B50" s="16" t="s">
        <v>65</v>
      </c>
      <c r="C50" s="76">
        <f>SUM(C51:C60)</f>
        <v>140128.3</v>
      </c>
      <c r="D50" s="76">
        <f>SUM(D51:D60)</f>
        <v>138507.19999999998</v>
      </c>
      <c r="E50" s="25">
        <f>D50/C50*100</f>
        <v>98.84313161581207</v>
      </c>
    </row>
    <row r="51" spans="1:5" ht="38.25" customHeight="1">
      <c r="A51" s="69" t="s">
        <v>262</v>
      </c>
      <c r="B51" s="20" t="s">
        <v>122</v>
      </c>
      <c r="C51" s="265">
        <f>953.3+1050+7063.1+8871+345.3+334.5+2164.9</f>
        <v>20782.100000000002</v>
      </c>
      <c r="D51" s="77">
        <v>20782.1</v>
      </c>
      <c r="E51" s="25">
        <f>D51/C51*100</f>
        <v>99.99999999999997</v>
      </c>
    </row>
    <row r="52" spans="1:5" ht="41.25" customHeight="1">
      <c r="A52" s="69" t="s">
        <v>299</v>
      </c>
      <c r="B52" s="195" t="s">
        <v>347</v>
      </c>
      <c r="C52" s="265">
        <v>2401.7</v>
      </c>
      <c r="D52" s="77">
        <v>2401.7</v>
      </c>
      <c r="E52" s="26">
        <f>D52/C52*100</f>
        <v>100</v>
      </c>
    </row>
    <row r="53" spans="1:5" ht="41.25" customHeight="1">
      <c r="A53" s="267" t="s">
        <v>436</v>
      </c>
      <c r="B53" s="268" t="s">
        <v>435</v>
      </c>
      <c r="C53" s="265">
        <f>30119.9+10351.9-14908.8</f>
        <v>25563.000000000004</v>
      </c>
      <c r="D53" s="77">
        <v>24941.9</v>
      </c>
      <c r="E53" s="26"/>
    </row>
    <row r="54" spans="1:5" ht="65.25" customHeight="1">
      <c r="A54" s="69" t="s">
        <v>263</v>
      </c>
      <c r="B54" s="73" t="s">
        <v>223</v>
      </c>
      <c r="C54" s="265">
        <f>4877.2+9871-8871</f>
        <v>5877.200000000001</v>
      </c>
      <c r="D54" s="77">
        <v>4877.2</v>
      </c>
      <c r="E54" s="26"/>
    </row>
    <row r="55" spans="1:5" ht="18.75" customHeight="1">
      <c r="A55" s="69" t="s">
        <v>264</v>
      </c>
      <c r="B55" s="73" t="s">
        <v>133</v>
      </c>
      <c r="C55" s="265">
        <f>5600+1900+1589+3493+436.5+290.7</f>
        <v>13309.2</v>
      </c>
      <c r="D55" s="77">
        <v>13309.2</v>
      </c>
      <c r="E55" s="26"/>
    </row>
    <row r="56" spans="1:5" ht="51">
      <c r="A56" s="69" t="s">
        <v>265</v>
      </c>
      <c r="B56" s="20" t="s">
        <v>124</v>
      </c>
      <c r="C56" s="265">
        <v>261.2</v>
      </c>
      <c r="D56" s="77">
        <v>261.2</v>
      </c>
      <c r="E56" s="26"/>
    </row>
    <row r="57" spans="1:5" ht="29.25" customHeight="1">
      <c r="A57" s="172" t="s">
        <v>300</v>
      </c>
      <c r="B57" s="171" t="s">
        <v>301</v>
      </c>
      <c r="C57" s="77">
        <v>2</v>
      </c>
      <c r="D57" s="77">
        <v>2</v>
      </c>
      <c r="E57" s="25">
        <f>D57/C57*100</f>
        <v>100</v>
      </c>
    </row>
    <row r="58" spans="1:5" ht="78" customHeight="1" hidden="1">
      <c r="A58" s="69" t="s">
        <v>266</v>
      </c>
      <c r="B58" s="73" t="s">
        <v>222</v>
      </c>
      <c r="C58" s="77">
        <v>0</v>
      </c>
      <c r="D58" s="77">
        <v>0</v>
      </c>
      <c r="E58" s="26" t="e">
        <f>D58/C58*100</f>
        <v>#DIV/0!</v>
      </c>
    </row>
    <row r="59" spans="1:5" ht="46.5" customHeight="1">
      <c r="A59" s="172" t="s">
        <v>313</v>
      </c>
      <c r="B59" s="164" t="s">
        <v>314</v>
      </c>
      <c r="C59" s="265">
        <f>1533.5+1200+15128.6+4795.4-598-96.8-30.8</f>
        <v>21931.9</v>
      </c>
      <c r="D59" s="77">
        <v>21931.9</v>
      </c>
      <c r="E59" s="26"/>
    </row>
    <row r="60" spans="1:5" ht="63" customHeight="1">
      <c r="A60" s="269" t="s">
        <v>438</v>
      </c>
      <c r="B60" s="270" t="s">
        <v>437</v>
      </c>
      <c r="C60" s="265">
        <v>50000</v>
      </c>
      <c r="D60" s="77">
        <v>50000</v>
      </c>
      <c r="E60" s="26"/>
    </row>
    <row r="61" spans="1:5" ht="36.75" customHeight="1">
      <c r="A61" s="173" t="s">
        <v>309</v>
      </c>
      <c r="B61" s="179" t="s">
        <v>310</v>
      </c>
      <c r="C61" s="76">
        <f>C62</f>
        <v>821</v>
      </c>
      <c r="D61" s="76">
        <f>D62</f>
        <v>439.5</v>
      </c>
      <c r="E61" s="26"/>
    </row>
    <row r="62" spans="1:5" ht="50.25" customHeight="1">
      <c r="A62" s="172" t="s">
        <v>311</v>
      </c>
      <c r="B62" s="180" t="s">
        <v>312</v>
      </c>
      <c r="C62" s="265">
        <f>949-128+6371-6371+5393.2-5393.2</f>
        <v>821</v>
      </c>
      <c r="D62" s="77">
        <v>439.5</v>
      </c>
      <c r="E62" s="26"/>
    </row>
    <row r="63" spans="1:5" ht="15.75">
      <c r="A63" s="5" t="s">
        <v>212</v>
      </c>
      <c r="B63" s="16" t="s">
        <v>211</v>
      </c>
      <c r="C63" s="76">
        <f>C64</f>
        <v>368.9</v>
      </c>
      <c r="D63" s="76">
        <f>D64</f>
        <v>230.5</v>
      </c>
      <c r="E63" s="26"/>
    </row>
    <row r="64" spans="1:5" ht="51.75" customHeight="1">
      <c r="A64" s="69" t="s">
        <v>267</v>
      </c>
      <c r="B64" s="73" t="s">
        <v>210</v>
      </c>
      <c r="C64" s="265">
        <f>428.4-59.5</f>
        <v>368.9</v>
      </c>
      <c r="D64" s="77">
        <v>230.5</v>
      </c>
      <c r="E64" s="26"/>
    </row>
    <row r="65" spans="1:4" ht="78.75" customHeight="1" hidden="1">
      <c r="A65" s="173" t="s">
        <v>302</v>
      </c>
      <c r="B65" s="174" t="s">
        <v>315</v>
      </c>
      <c r="C65" s="181">
        <f>C66</f>
        <v>0</v>
      </c>
      <c r="D65" s="277">
        <f>D66</f>
        <v>0</v>
      </c>
    </row>
    <row r="66" spans="1:4" ht="64.5" hidden="1">
      <c r="A66" s="175" t="s">
        <v>303</v>
      </c>
      <c r="B66" s="176" t="s">
        <v>304</v>
      </c>
      <c r="C66" s="182">
        <v>0</v>
      </c>
      <c r="D66" s="278">
        <v>0</v>
      </c>
    </row>
    <row r="67" spans="1:4" ht="51.75">
      <c r="A67" s="173" t="s">
        <v>305</v>
      </c>
      <c r="B67" s="177" t="s">
        <v>306</v>
      </c>
      <c r="C67" s="181">
        <f>C69+C68</f>
        <v>0</v>
      </c>
      <c r="D67" s="277">
        <f>D69+D68</f>
        <v>-304.5</v>
      </c>
    </row>
    <row r="68" spans="1:4" ht="15.75">
      <c r="A68" s="69" t="s">
        <v>439</v>
      </c>
      <c r="B68" s="178"/>
      <c r="C68" s="273">
        <v>0</v>
      </c>
      <c r="D68" s="279">
        <v>-38.9</v>
      </c>
    </row>
    <row r="69" spans="1:4" ht="51.75">
      <c r="A69" s="69" t="s">
        <v>307</v>
      </c>
      <c r="B69" s="178" t="s">
        <v>308</v>
      </c>
      <c r="C69" s="182">
        <v>0</v>
      </c>
      <c r="D69" s="278">
        <v>-265.6</v>
      </c>
    </row>
  </sheetData>
  <sheetProtection/>
  <mergeCells count="12">
    <mergeCell ref="A7:E7"/>
    <mergeCell ref="B1:E1"/>
    <mergeCell ref="B2:E2"/>
    <mergeCell ref="B3:E3"/>
    <mergeCell ref="B4:E4"/>
    <mergeCell ref="B5:E5"/>
    <mergeCell ref="A10:A12"/>
    <mergeCell ref="C10:C12"/>
    <mergeCell ref="E10:E12"/>
    <mergeCell ref="B10:B12"/>
    <mergeCell ref="D10:D12"/>
    <mergeCell ref="A8:E8"/>
  </mergeCells>
  <printOptions horizontalCentered="1"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P53"/>
  <sheetViews>
    <sheetView zoomScaleSheetLayoutView="100" zoomScalePageLayoutView="0" workbookViewId="0" topLeftCell="A1">
      <selection activeCell="J5" sqref="J5:N5"/>
    </sheetView>
  </sheetViews>
  <sheetFormatPr defaultColWidth="9.00390625" defaultRowHeight="12.75"/>
  <cols>
    <col min="1" max="1" width="50.875" style="27" customWidth="1"/>
    <col min="2" max="2" width="6.375" style="27" hidden="1" customWidth="1"/>
    <col min="3" max="3" width="5.25390625" style="27" customWidth="1"/>
    <col min="4" max="4" width="5.125" style="27" customWidth="1"/>
    <col min="5" max="5" width="4.25390625" style="27" hidden="1" customWidth="1"/>
    <col min="6" max="6" width="3.625" style="27" hidden="1" customWidth="1"/>
    <col min="7" max="7" width="4.25390625" style="45" hidden="1" customWidth="1"/>
    <col min="8" max="8" width="8.00390625" style="46" hidden="1" customWidth="1"/>
    <col min="9" max="9" width="6.375" style="46" hidden="1" customWidth="1"/>
    <col min="10" max="10" width="9.625" style="299" customWidth="1"/>
    <col min="11" max="11" width="11.25390625" style="282" hidden="1" customWidth="1"/>
    <col min="12" max="12" width="9.375" style="282" customWidth="1"/>
    <col min="13" max="13" width="9.125" style="282" customWidth="1"/>
    <col min="14" max="16384" width="9.125" style="28" customWidth="1"/>
  </cols>
  <sheetData>
    <row r="1" spans="2:13" s="29" customFormat="1" ht="17.25" customHeight="1">
      <c r="B1" s="119"/>
      <c r="C1" s="119"/>
      <c r="D1" s="119"/>
      <c r="E1" s="119"/>
      <c r="F1" s="119"/>
      <c r="G1" s="119"/>
      <c r="H1" s="119"/>
      <c r="I1" s="119"/>
      <c r="J1" s="293" t="s">
        <v>74</v>
      </c>
      <c r="K1" s="281"/>
      <c r="L1" s="300"/>
      <c r="M1" s="300"/>
    </row>
    <row r="2" spans="2:14" s="29" customFormat="1" ht="17.25" customHeight="1">
      <c r="B2" s="119"/>
      <c r="C2" s="119"/>
      <c r="D2" s="119"/>
      <c r="E2" s="119"/>
      <c r="F2" s="119"/>
      <c r="G2" s="119"/>
      <c r="H2" s="119"/>
      <c r="I2" s="119"/>
      <c r="J2" s="381" t="s">
        <v>354</v>
      </c>
      <c r="K2" s="380"/>
      <c r="L2" s="380"/>
      <c r="M2" s="380"/>
      <c r="N2" s="380"/>
    </row>
    <row r="3" spans="2:14" s="29" customFormat="1" ht="17.25" customHeight="1">
      <c r="B3" s="119"/>
      <c r="C3" s="119"/>
      <c r="D3" s="119"/>
      <c r="E3" s="119"/>
      <c r="F3" s="119"/>
      <c r="G3" s="119"/>
      <c r="H3" s="119"/>
      <c r="I3" s="119"/>
      <c r="J3" s="385" t="s">
        <v>350</v>
      </c>
      <c r="K3" s="356"/>
      <c r="L3" s="356"/>
      <c r="M3" s="356"/>
      <c r="N3" s="194"/>
    </row>
    <row r="4" spans="2:14" s="29" customFormat="1" ht="16.5" customHeight="1">
      <c r="B4" s="120" t="s">
        <v>201</v>
      </c>
      <c r="C4" s="120"/>
      <c r="D4" s="120"/>
      <c r="E4" s="120"/>
      <c r="F4" s="120"/>
      <c r="G4" s="120"/>
      <c r="H4" s="120"/>
      <c r="I4" s="120"/>
      <c r="J4" s="380" t="s">
        <v>75</v>
      </c>
      <c r="K4" s="380"/>
      <c r="L4" s="380"/>
      <c r="M4" s="380"/>
      <c r="N4" s="380"/>
    </row>
    <row r="5" spans="2:14" s="29" customFormat="1" ht="15">
      <c r="B5" s="119" t="s">
        <v>75</v>
      </c>
      <c r="C5" s="119"/>
      <c r="D5" s="119"/>
      <c r="E5" s="119"/>
      <c r="F5" s="119"/>
      <c r="G5" s="119"/>
      <c r="H5" s="119"/>
      <c r="I5" s="119"/>
      <c r="J5" s="381" t="s">
        <v>225</v>
      </c>
      <c r="K5" s="381"/>
      <c r="L5" s="381"/>
      <c r="M5" s="381"/>
      <c r="N5" s="381"/>
    </row>
    <row r="6" spans="2:13" s="29" customFormat="1" ht="16.5" customHeight="1">
      <c r="B6" s="23" t="s">
        <v>145</v>
      </c>
      <c r="C6" s="118"/>
      <c r="D6" s="118"/>
      <c r="E6" s="118"/>
      <c r="F6" s="118"/>
      <c r="G6" s="118"/>
      <c r="H6" s="118"/>
      <c r="I6" s="118"/>
      <c r="J6" s="281"/>
      <c r="K6" s="281"/>
      <c r="L6" s="300"/>
      <c r="M6" s="300"/>
    </row>
    <row r="7" spans="2:13" s="29" customFormat="1" ht="16.5" customHeight="1">
      <c r="B7" s="23"/>
      <c r="C7" s="22"/>
      <c r="D7" s="22"/>
      <c r="E7" s="22"/>
      <c r="F7" s="22"/>
      <c r="G7" s="22"/>
      <c r="H7" s="22"/>
      <c r="I7" s="22"/>
      <c r="J7" s="281"/>
      <c r="K7" s="281"/>
      <c r="L7" s="300"/>
      <c r="M7" s="300"/>
    </row>
    <row r="8" spans="1:13" s="29" customFormat="1" ht="15">
      <c r="A8" s="384" t="s">
        <v>357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80"/>
      <c r="M8" s="380"/>
    </row>
    <row r="9" spans="1:13" ht="16.5" customHeight="1">
      <c r="A9" s="384" t="s">
        <v>253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</row>
    <row r="10" spans="2:13" ht="14.25" customHeight="1" thickBot="1">
      <c r="B10" s="30"/>
      <c r="C10" s="30"/>
      <c r="D10" s="30"/>
      <c r="E10" s="31"/>
      <c r="F10" s="31"/>
      <c r="G10" s="31"/>
      <c r="H10" s="32"/>
      <c r="I10" s="33"/>
      <c r="J10" s="294"/>
      <c r="M10" s="301" t="s">
        <v>79</v>
      </c>
    </row>
    <row r="11" spans="1:14" ht="39" thickBot="1">
      <c r="A11" s="86" t="s">
        <v>42</v>
      </c>
      <c r="B11" s="49" t="s">
        <v>40</v>
      </c>
      <c r="C11" s="83" t="s">
        <v>147</v>
      </c>
      <c r="D11" s="8" t="s">
        <v>193</v>
      </c>
      <c r="E11" s="383" t="s">
        <v>39</v>
      </c>
      <c r="F11" s="383"/>
      <c r="G11" s="383"/>
      <c r="H11" s="383"/>
      <c r="I11" s="48" t="s">
        <v>38</v>
      </c>
      <c r="J11" s="283" t="s">
        <v>181</v>
      </c>
      <c r="K11" s="283" t="s">
        <v>440</v>
      </c>
      <c r="L11" s="283" t="s">
        <v>353</v>
      </c>
      <c r="M11" s="302" t="s">
        <v>215</v>
      </c>
      <c r="N11" s="126"/>
    </row>
    <row r="12" spans="1:14" ht="12.75" customHeight="1">
      <c r="A12" s="50">
        <v>1</v>
      </c>
      <c r="B12" s="51">
        <v>2</v>
      </c>
      <c r="C12" s="50">
        <v>2</v>
      </c>
      <c r="D12" s="50">
        <v>3</v>
      </c>
      <c r="E12" s="382">
        <v>5</v>
      </c>
      <c r="F12" s="382"/>
      <c r="G12" s="382"/>
      <c r="H12" s="382"/>
      <c r="I12" s="50">
        <v>6</v>
      </c>
      <c r="J12" s="295" t="s">
        <v>31</v>
      </c>
      <c r="K12" s="284">
        <v>5</v>
      </c>
      <c r="L12" s="284">
        <v>5</v>
      </c>
      <c r="M12" s="303">
        <v>6</v>
      </c>
      <c r="N12" s="126"/>
    </row>
    <row r="13" spans="1:14" s="34" customFormat="1" ht="12.75" hidden="1">
      <c r="A13" s="52" t="s">
        <v>80</v>
      </c>
      <c r="B13" s="53">
        <v>802</v>
      </c>
      <c r="C13" s="53"/>
      <c r="D13" s="53"/>
      <c r="E13" s="53"/>
      <c r="F13" s="53"/>
      <c r="G13" s="54"/>
      <c r="H13" s="53"/>
      <c r="I13" s="53"/>
      <c r="J13" s="285"/>
      <c r="K13" s="285"/>
      <c r="L13" s="285"/>
      <c r="M13" s="285"/>
      <c r="N13" s="127"/>
    </row>
    <row r="14" spans="1:14" s="34" customFormat="1" ht="21.75" customHeight="1">
      <c r="A14" s="55" t="s">
        <v>37</v>
      </c>
      <c r="B14" s="53">
        <v>802</v>
      </c>
      <c r="C14" s="56">
        <v>1</v>
      </c>
      <c r="D14" s="56">
        <v>0</v>
      </c>
      <c r="E14" s="56"/>
      <c r="F14" s="56"/>
      <c r="G14" s="57"/>
      <c r="H14" s="56"/>
      <c r="I14" s="58"/>
      <c r="J14" s="286">
        <f>J15+J16+J17+J18+J19+J20+J21</f>
        <v>12686.7</v>
      </c>
      <c r="K14" s="286">
        <f>K15+K16+K17+K18+K19+K20+K21</f>
        <v>9708.3</v>
      </c>
      <c r="L14" s="286">
        <f>L15+L16+L17+L18+L19+L20+L21</f>
        <v>12477.099999999999</v>
      </c>
      <c r="M14" s="288">
        <f aca="true" t="shared" si="0" ref="M14:M20">L14/K14*100</f>
        <v>128.5199262486738</v>
      </c>
      <c r="N14" s="127"/>
    </row>
    <row r="15" spans="1:14" s="34" customFormat="1" ht="40.5" customHeight="1" hidden="1">
      <c r="A15" s="59" t="s">
        <v>36</v>
      </c>
      <c r="B15" s="49">
        <v>802</v>
      </c>
      <c r="C15" s="60">
        <v>1</v>
      </c>
      <c r="D15" s="60">
        <v>2</v>
      </c>
      <c r="E15" s="60"/>
      <c r="F15" s="60"/>
      <c r="G15" s="61"/>
      <c r="H15" s="60"/>
      <c r="I15" s="62"/>
      <c r="J15" s="287">
        <v>0</v>
      </c>
      <c r="K15" s="287">
        <v>0</v>
      </c>
      <c r="L15" s="287">
        <v>0</v>
      </c>
      <c r="M15" s="288" t="e">
        <f t="shared" si="0"/>
        <v>#DIV/0!</v>
      </c>
      <c r="N15" s="127"/>
    </row>
    <row r="16" spans="1:14" ht="40.5" customHeight="1" hidden="1">
      <c r="A16" s="59" t="s">
        <v>116</v>
      </c>
      <c r="B16" s="49"/>
      <c r="C16" s="60">
        <v>1</v>
      </c>
      <c r="D16" s="60">
        <v>3</v>
      </c>
      <c r="E16" s="60"/>
      <c r="F16" s="63"/>
      <c r="G16" s="61"/>
      <c r="H16" s="61"/>
      <c r="I16" s="62"/>
      <c r="J16" s="287">
        <v>0</v>
      </c>
      <c r="K16" s="287">
        <v>0</v>
      </c>
      <c r="L16" s="287">
        <v>0</v>
      </c>
      <c r="M16" s="288" t="e">
        <f t="shared" si="0"/>
        <v>#DIV/0!</v>
      </c>
      <c r="N16" s="126"/>
    </row>
    <row r="17" spans="1:14" s="34" customFormat="1" ht="39.75" customHeight="1">
      <c r="A17" s="59" t="s">
        <v>35</v>
      </c>
      <c r="B17" s="49">
        <v>802</v>
      </c>
      <c r="C17" s="60">
        <v>1</v>
      </c>
      <c r="D17" s="60">
        <v>4</v>
      </c>
      <c r="E17" s="60"/>
      <c r="F17" s="60"/>
      <c r="G17" s="61"/>
      <c r="H17" s="60"/>
      <c r="I17" s="62"/>
      <c r="J17" s="287">
        <v>6303.7</v>
      </c>
      <c r="K17" s="287">
        <v>6072.1</v>
      </c>
      <c r="L17" s="287">
        <v>6303.7</v>
      </c>
      <c r="M17" s="288">
        <f t="shared" si="0"/>
        <v>103.81416643335912</v>
      </c>
      <c r="N17" s="127"/>
    </row>
    <row r="18" spans="1:14" s="35" customFormat="1" ht="27.75" customHeight="1">
      <c r="A18" s="59" t="s">
        <v>34</v>
      </c>
      <c r="B18" s="49">
        <v>802</v>
      </c>
      <c r="C18" s="60">
        <v>1</v>
      </c>
      <c r="D18" s="60">
        <v>6</v>
      </c>
      <c r="E18" s="61"/>
      <c r="F18" s="61"/>
      <c r="G18" s="61"/>
      <c r="H18" s="61"/>
      <c r="I18" s="62"/>
      <c r="J18" s="287">
        <v>79.9</v>
      </c>
      <c r="K18" s="287">
        <v>78.2</v>
      </c>
      <c r="L18" s="287">
        <v>79.9</v>
      </c>
      <c r="M18" s="288">
        <f t="shared" si="0"/>
        <v>102.17391304347827</v>
      </c>
      <c r="N18" s="128"/>
    </row>
    <row r="19" spans="1:14" s="35" customFormat="1" ht="21.75" customHeight="1" hidden="1">
      <c r="A19" s="59" t="s">
        <v>120</v>
      </c>
      <c r="B19" s="49"/>
      <c r="C19" s="60">
        <v>1</v>
      </c>
      <c r="D19" s="60">
        <v>7</v>
      </c>
      <c r="E19" s="61"/>
      <c r="F19" s="61"/>
      <c r="G19" s="61"/>
      <c r="H19" s="61"/>
      <c r="I19" s="62"/>
      <c r="J19" s="287">
        <v>0</v>
      </c>
      <c r="K19" s="287"/>
      <c r="L19" s="287"/>
      <c r="M19" s="288" t="e">
        <f t="shared" si="0"/>
        <v>#DIV/0!</v>
      </c>
      <c r="N19" s="128"/>
    </row>
    <row r="20" spans="1:14" s="36" customFormat="1" ht="17.25" customHeight="1" hidden="1">
      <c r="A20" s="59" t="s">
        <v>33</v>
      </c>
      <c r="B20" s="49">
        <v>802</v>
      </c>
      <c r="C20" s="60">
        <v>1</v>
      </c>
      <c r="D20" s="60">
        <v>11</v>
      </c>
      <c r="E20" s="61"/>
      <c r="F20" s="61"/>
      <c r="G20" s="61"/>
      <c r="H20" s="61"/>
      <c r="I20" s="62"/>
      <c r="J20" s="287">
        <v>0</v>
      </c>
      <c r="K20" s="287">
        <v>0</v>
      </c>
      <c r="L20" s="287">
        <v>0</v>
      </c>
      <c r="M20" s="288" t="e">
        <f t="shared" si="0"/>
        <v>#DIV/0!</v>
      </c>
      <c r="N20" s="129"/>
    </row>
    <row r="21" spans="1:14" ht="15.75" customHeight="1">
      <c r="A21" s="59" t="s">
        <v>32</v>
      </c>
      <c r="B21" s="49">
        <v>802</v>
      </c>
      <c r="C21" s="60">
        <v>1</v>
      </c>
      <c r="D21" s="60">
        <v>13</v>
      </c>
      <c r="E21" s="61"/>
      <c r="F21" s="61"/>
      <c r="G21" s="61"/>
      <c r="H21" s="61"/>
      <c r="I21" s="62"/>
      <c r="J21" s="287">
        <v>6303.1</v>
      </c>
      <c r="K21" s="287">
        <v>3558</v>
      </c>
      <c r="L21" s="287">
        <v>6093.5</v>
      </c>
      <c r="M21" s="288">
        <f aca="true" t="shared" si="1" ref="M21:M28">L21/K21*100</f>
        <v>171.26194491287242</v>
      </c>
      <c r="N21" s="126"/>
    </row>
    <row r="22" spans="1:14" s="38" customFormat="1" ht="16.5" customHeight="1">
      <c r="A22" s="66" t="s">
        <v>30</v>
      </c>
      <c r="B22" s="53">
        <v>802</v>
      </c>
      <c r="C22" s="56">
        <v>2</v>
      </c>
      <c r="D22" s="56">
        <v>0</v>
      </c>
      <c r="E22" s="57"/>
      <c r="F22" s="57"/>
      <c r="G22" s="57"/>
      <c r="H22" s="57"/>
      <c r="I22" s="58"/>
      <c r="J22" s="286">
        <f>J23</f>
        <v>261.2</v>
      </c>
      <c r="K22" s="286">
        <f>K23</f>
        <v>233.9</v>
      </c>
      <c r="L22" s="286">
        <f>L23</f>
        <v>261.2</v>
      </c>
      <c r="M22" s="288">
        <f t="shared" si="1"/>
        <v>111.67165455322787</v>
      </c>
      <c r="N22" s="131"/>
    </row>
    <row r="23" spans="1:14" s="34" customFormat="1" ht="18.75" customHeight="1">
      <c r="A23" s="59" t="s">
        <v>29</v>
      </c>
      <c r="B23" s="49">
        <v>802</v>
      </c>
      <c r="C23" s="60">
        <v>2</v>
      </c>
      <c r="D23" s="60">
        <v>3</v>
      </c>
      <c r="E23" s="61"/>
      <c r="F23" s="61"/>
      <c r="G23" s="61"/>
      <c r="H23" s="61"/>
      <c r="I23" s="62"/>
      <c r="J23" s="287">
        <v>261.2</v>
      </c>
      <c r="K23" s="287">
        <v>233.9</v>
      </c>
      <c r="L23" s="287">
        <v>261.2</v>
      </c>
      <c r="M23" s="288">
        <f t="shared" si="1"/>
        <v>111.67165455322787</v>
      </c>
      <c r="N23" s="127"/>
    </row>
    <row r="24" spans="1:14" ht="30" customHeight="1">
      <c r="A24" s="66" t="s">
        <v>28</v>
      </c>
      <c r="B24" s="53">
        <v>802</v>
      </c>
      <c r="C24" s="56">
        <v>3</v>
      </c>
      <c r="D24" s="56">
        <v>0</v>
      </c>
      <c r="E24" s="57"/>
      <c r="F24" s="57"/>
      <c r="G24" s="57"/>
      <c r="H24" s="57"/>
      <c r="I24" s="58"/>
      <c r="J24" s="286">
        <f>J25+J26</f>
        <v>1816.3</v>
      </c>
      <c r="K24" s="286">
        <f>K25+K26</f>
        <v>100</v>
      </c>
      <c r="L24" s="286">
        <f>L25+L26</f>
        <v>1704.4</v>
      </c>
      <c r="M24" s="288">
        <f t="shared" si="1"/>
        <v>1704.4</v>
      </c>
      <c r="N24" s="126"/>
    </row>
    <row r="25" spans="1:14" ht="30" customHeight="1" hidden="1">
      <c r="A25" s="59" t="s">
        <v>164</v>
      </c>
      <c r="B25" s="49"/>
      <c r="C25" s="60">
        <v>3</v>
      </c>
      <c r="D25" s="60">
        <v>9</v>
      </c>
      <c r="E25" s="61"/>
      <c r="F25" s="61"/>
      <c r="G25" s="61"/>
      <c r="H25" s="61"/>
      <c r="I25" s="62"/>
      <c r="J25" s="287">
        <v>0</v>
      </c>
      <c r="K25" s="287">
        <v>0</v>
      </c>
      <c r="L25" s="287">
        <v>0</v>
      </c>
      <c r="M25" s="288" t="e">
        <f t="shared" si="1"/>
        <v>#DIV/0!</v>
      </c>
      <c r="N25" s="126"/>
    </row>
    <row r="26" spans="1:14" s="36" customFormat="1" ht="16.5" customHeight="1">
      <c r="A26" s="59" t="s">
        <v>27</v>
      </c>
      <c r="B26" s="49">
        <v>802</v>
      </c>
      <c r="C26" s="60">
        <v>3</v>
      </c>
      <c r="D26" s="60">
        <v>10</v>
      </c>
      <c r="E26" s="61"/>
      <c r="F26" s="61"/>
      <c r="G26" s="61"/>
      <c r="H26" s="61"/>
      <c r="I26" s="62"/>
      <c r="J26" s="287">
        <v>1816.3</v>
      </c>
      <c r="K26" s="287">
        <v>100</v>
      </c>
      <c r="L26" s="287">
        <v>1704.4</v>
      </c>
      <c r="M26" s="288">
        <f t="shared" si="1"/>
        <v>1704.4</v>
      </c>
      <c r="N26" s="129"/>
    </row>
    <row r="27" spans="1:14" s="39" customFormat="1" ht="12.75" customHeight="1">
      <c r="A27" s="66" t="s">
        <v>26</v>
      </c>
      <c r="B27" s="53">
        <v>802</v>
      </c>
      <c r="C27" s="56">
        <v>4</v>
      </c>
      <c r="D27" s="56">
        <v>0</v>
      </c>
      <c r="E27" s="57"/>
      <c r="F27" s="57"/>
      <c r="G27" s="57"/>
      <c r="H27" s="58"/>
      <c r="I27" s="58"/>
      <c r="J27" s="286">
        <f>J28+J29</f>
        <v>24761.1</v>
      </c>
      <c r="K27" s="196">
        <f>K28+K29</f>
        <v>54224.7</v>
      </c>
      <c r="L27" s="286">
        <f>L28+L29</f>
        <v>24565.7</v>
      </c>
      <c r="M27" s="288">
        <f t="shared" si="1"/>
        <v>45.30352403978261</v>
      </c>
      <c r="N27" s="132"/>
    </row>
    <row r="28" spans="1:14" s="39" customFormat="1" ht="15.75" customHeight="1">
      <c r="A28" s="59" t="s">
        <v>25</v>
      </c>
      <c r="B28" s="49">
        <v>802</v>
      </c>
      <c r="C28" s="60">
        <v>4</v>
      </c>
      <c r="D28" s="60">
        <v>9</v>
      </c>
      <c r="E28" s="61"/>
      <c r="F28" s="61"/>
      <c r="G28" s="61"/>
      <c r="H28" s="62"/>
      <c r="I28" s="62"/>
      <c r="J28" s="287">
        <v>24506.1</v>
      </c>
      <c r="K28" s="287">
        <v>54224.7</v>
      </c>
      <c r="L28" s="287">
        <v>24310.7</v>
      </c>
      <c r="M28" s="288">
        <f t="shared" si="1"/>
        <v>44.83325864412343</v>
      </c>
      <c r="N28" s="132"/>
    </row>
    <row r="29" spans="1:14" s="39" customFormat="1" ht="15.75" customHeight="1">
      <c r="A29" s="290" t="s">
        <v>392</v>
      </c>
      <c r="B29" s="49"/>
      <c r="C29" s="60">
        <v>4</v>
      </c>
      <c r="D29" s="60">
        <v>12</v>
      </c>
      <c r="E29" s="61"/>
      <c r="F29" s="61"/>
      <c r="G29" s="61"/>
      <c r="H29" s="62"/>
      <c r="I29" s="62"/>
      <c r="J29" s="287">
        <v>255</v>
      </c>
      <c r="K29" s="287"/>
      <c r="L29" s="287">
        <v>255</v>
      </c>
      <c r="M29" s="288"/>
      <c r="N29" s="132"/>
    </row>
    <row r="30" spans="1:14" s="40" customFormat="1" ht="15" customHeight="1">
      <c r="A30" s="66" t="s">
        <v>23</v>
      </c>
      <c r="B30" s="53">
        <v>802</v>
      </c>
      <c r="C30" s="56">
        <v>5</v>
      </c>
      <c r="D30" s="56">
        <v>0</v>
      </c>
      <c r="E30" s="57"/>
      <c r="F30" s="57"/>
      <c r="G30" s="57"/>
      <c r="H30" s="57"/>
      <c r="I30" s="58"/>
      <c r="J30" s="286">
        <f>J31+J32+J33+J34</f>
        <v>124061</v>
      </c>
      <c r="K30" s="286">
        <f>K31+K32+K33+K34</f>
        <v>35849.100000000006</v>
      </c>
      <c r="L30" s="286">
        <f>L31+L32+L33+L34</f>
        <v>120319</v>
      </c>
      <c r="M30" s="288">
        <f aca="true" t="shared" si="2" ref="M30:M48">L30/K30*100</f>
        <v>335.6262779260846</v>
      </c>
      <c r="N30" s="133"/>
    </row>
    <row r="31" spans="1:14" s="40" customFormat="1" ht="16.5" customHeight="1">
      <c r="A31" s="59" t="s">
        <v>22</v>
      </c>
      <c r="B31" s="49">
        <v>802</v>
      </c>
      <c r="C31" s="60">
        <v>5</v>
      </c>
      <c r="D31" s="60">
        <v>1</v>
      </c>
      <c r="E31" s="61"/>
      <c r="F31" s="61"/>
      <c r="G31" s="61"/>
      <c r="H31" s="61"/>
      <c r="I31" s="62"/>
      <c r="J31" s="287">
        <v>793.1</v>
      </c>
      <c r="K31" s="287">
        <v>743.4</v>
      </c>
      <c r="L31" s="287">
        <v>793.1</v>
      </c>
      <c r="M31" s="288">
        <f t="shared" si="2"/>
        <v>106.68549905838043</v>
      </c>
      <c r="N31" s="133"/>
    </row>
    <row r="32" spans="1:14" ht="15.75" customHeight="1">
      <c r="A32" s="65" t="s">
        <v>64</v>
      </c>
      <c r="B32" s="49">
        <v>802</v>
      </c>
      <c r="C32" s="60">
        <v>5</v>
      </c>
      <c r="D32" s="60">
        <v>2</v>
      </c>
      <c r="E32" s="61"/>
      <c r="F32" s="61"/>
      <c r="G32" s="61"/>
      <c r="H32" s="61"/>
      <c r="I32" s="62"/>
      <c r="J32" s="287">
        <v>34258.1</v>
      </c>
      <c r="K32" s="287">
        <v>7551.8</v>
      </c>
      <c r="L32" s="287">
        <v>31861.7</v>
      </c>
      <c r="M32" s="288">
        <f t="shared" si="2"/>
        <v>421.90868402235225</v>
      </c>
      <c r="N32" s="126"/>
    </row>
    <row r="33" spans="1:14" ht="17.25" customHeight="1">
      <c r="A33" s="59" t="s">
        <v>21</v>
      </c>
      <c r="B33" s="49">
        <v>802</v>
      </c>
      <c r="C33" s="60">
        <v>5</v>
      </c>
      <c r="D33" s="60">
        <v>3</v>
      </c>
      <c r="E33" s="61"/>
      <c r="F33" s="61"/>
      <c r="G33" s="61"/>
      <c r="H33" s="61"/>
      <c r="I33" s="62"/>
      <c r="J33" s="287">
        <v>81624.5</v>
      </c>
      <c r="K33" s="287">
        <v>21630.9</v>
      </c>
      <c r="L33" s="287">
        <v>80278.9</v>
      </c>
      <c r="M33" s="288">
        <f t="shared" si="2"/>
        <v>371.13065105936414</v>
      </c>
      <c r="N33" s="126"/>
    </row>
    <row r="34" spans="1:14" ht="11.25" customHeight="1">
      <c r="A34" s="71" t="s">
        <v>107</v>
      </c>
      <c r="B34" s="49"/>
      <c r="C34" s="60">
        <v>5</v>
      </c>
      <c r="D34" s="60">
        <v>5</v>
      </c>
      <c r="E34" s="61"/>
      <c r="F34" s="61"/>
      <c r="G34" s="61"/>
      <c r="H34" s="61"/>
      <c r="I34" s="62"/>
      <c r="J34" s="287">
        <v>7385.3</v>
      </c>
      <c r="K34" s="287">
        <v>5923</v>
      </c>
      <c r="L34" s="287">
        <v>7385.3</v>
      </c>
      <c r="M34" s="288">
        <f t="shared" si="2"/>
        <v>124.68850244808374</v>
      </c>
      <c r="N34" s="126"/>
    </row>
    <row r="35" spans="1:14" s="34" customFormat="1" ht="11.25" customHeight="1">
      <c r="A35" s="72" t="s">
        <v>20</v>
      </c>
      <c r="B35" s="53">
        <v>802</v>
      </c>
      <c r="C35" s="56">
        <v>7</v>
      </c>
      <c r="D35" s="56">
        <v>0</v>
      </c>
      <c r="E35" s="57"/>
      <c r="F35" s="57"/>
      <c r="G35" s="57"/>
      <c r="H35" s="57"/>
      <c r="I35" s="58"/>
      <c r="J35" s="286">
        <f>J36</f>
        <v>25.2</v>
      </c>
      <c r="K35" s="286">
        <f>K36</f>
        <v>25.1</v>
      </c>
      <c r="L35" s="286">
        <f>L36</f>
        <v>25.2</v>
      </c>
      <c r="M35" s="288">
        <f t="shared" si="2"/>
        <v>100.39840637450199</v>
      </c>
      <c r="N35" s="127"/>
    </row>
    <row r="36" spans="1:14" ht="11.25" customHeight="1">
      <c r="A36" s="64" t="s">
        <v>19</v>
      </c>
      <c r="B36" s="49">
        <v>802</v>
      </c>
      <c r="C36" s="60">
        <v>7</v>
      </c>
      <c r="D36" s="60">
        <v>7</v>
      </c>
      <c r="E36" s="61"/>
      <c r="F36" s="61"/>
      <c r="G36" s="61"/>
      <c r="H36" s="61"/>
      <c r="I36" s="62"/>
      <c r="J36" s="287">
        <v>25.2</v>
      </c>
      <c r="K36" s="287">
        <v>25.1</v>
      </c>
      <c r="L36" s="287">
        <v>25.2</v>
      </c>
      <c r="M36" s="288">
        <f t="shared" si="2"/>
        <v>100.39840637450199</v>
      </c>
      <c r="N36" s="126"/>
    </row>
    <row r="37" spans="1:14" ht="15.75" customHeight="1">
      <c r="A37" s="291" t="s">
        <v>441</v>
      </c>
      <c r="B37" s="53"/>
      <c r="C37" s="56">
        <v>8</v>
      </c>
      <c r="D37" s="56">
        <v>0</v>
      </c>
      <c r="E37" s="57"/>
      <c r="F37" s="57"/>
      <c r="G37" s="57"/>
      <c r="H37" s="57"/>
      <c r="I37" s="58"/>
      <c r="J37" s="286">
        <f>J38</f>
        <v>400</v>
      </c>
      <c r="K37" s="196">
        <f>K38</f>
        <v>0</v>
      </c>
      <c r="L37" s="286">
        <f>L38</f>
        <v>400</v>
      </c>
      <c r="M37" s="288"/>
      <c r="N37" s="126"/>
    </row>
    <row r="38" spans="1:14" ht="11.25" customHeight="1">
      <c r="A38" s="290" t="s">
        <v>424</v>
      </c>
      <c r="B38" s="49"/>
      <c r="C38" s="60">
        <v>8</v>
      </c>
      <c r="D38" s="60">
        <v>4</v>
      </c>
      <c r="E38" s="61"/>
      <c r="F38" s="61"/>
      <c r="G38" s="61"/>
      <c r="H38" s="61"/>
      <c r="I38" s="62"/>
      <c r="J38" s="287">
        <v>400</v>
      </c>
      <c r="K38" s="287"/>
      <c r="L38" s="287">
        <v>400</v>
      </c>
      <c r="M38" s="288"/>
      <c r="N38" s="126"/>
    </row>
    <row r="39" spans="1:14" s="37" customFormat="1" ht="12.75" customHeight="1">
      <c r="A39" s="66" t="s">
        <v>17</v>
      </c>
      <c r="B39" s="53">
        <v>802</v>
      </c>
      <c r="C39" s="56">
        <v>10</v>
      </c>
      <c r="D39" s="56">
        <v>0</v>
      </c>
      <c r="E39" s="56"/>
      <c r="F39" s="56"/>
      <c r="G39" s="57"/>
      <c r="H39" s="57"/>
      <c r="I39" s="58"/>
      <c r="J39" s="286">
        <f>J40+J41+J42</f>
        <v>770.7</v>
      </c>
      <c r="K39" s="196">
        <f>K40+K41+K42</f>
        <v>364.4</v>
      </c>
      <c r="L39" s="286">
        <f>L40+L41+L42</f>
        <v>770.7</v>
      </c>
      <c r="M39" s="288">
        <f t="shared" si="2"/>
        <v>211.49835345773877</v>
      </c>
      <c r="N39" s="130"/>
    </row>
    <row r="40" spans="1:14" s="41" customFormat="1" ht="13.5" customHeight="1">
      <c r="A40" s="59" t="s">
        <v>16</v>
      </c>
      <c r="B40" s="49">
        <v>802</v>
      </c>
      <c r="C40" s="60">
        <v>10</v>
      </c>
      <c r="D40" s="60">
        <v>1</v>
      </c>
      <c r="E40" s="60"/>
      <c r="F40" s="60"/>
      <c r="G40" s="61"/>
      <c r="H40" s="61"/>
      <c r="I40" s="62"/>
      <c r="J40" s="288">
        <v>319.7</v>
      </c>
      <c r="K40" s="288">
        <v>363.4</v>
      </c>
      <c r="L40" s="288">
        <v>319.7</v>
      </c>
      <c r="M40" s="288">
        <f t="shared" si="2"/>
        <v>87.9746835443038</v>
      </c>
      <c r="N40" s="134"/>
    </row>
    <row r="41" spans="1:14" s="41" customFormat="1" ht="13.5" customHeight="1">
      <c r="A41" s="59" t="s">
        <v>72</v>
      </c>
      <c r="B41" s="49"/>
      <c r="C41" s="60">
        <v>10</v>
      </c>
      <c r="D41" s="60">
        <v>3</v>
      </c>
      <c r="E41" s="60"/>
      <c r="F41" s="60"/>
      <c r="G41" s="61"/>
      <c r="H41" s="61"/>
      <c r="I41" s="62"/>
      <c r="J41" s="288">
        <v>1</v>
      </c>
      <c r="K41" s="288">
        <v>1</v>
      </c>
      <c r="L41" s="288">
        <v>1</v>
      </c>
      <c r="M41" s="288">
        <f t="shared" si="2"/>
        <v>100</v>
      </c>
      <c r="N41" s="134"/>
    </row>
    <row r="42" spans="1:14" s="41" customFormat="1" ht="13.5" customHeight="1">
      <c r="A42" s="292" t="s">
        <v>426</v>
      </c>
      <c r="B42" s="49"/>
      <c r="C42" s="60">
        <v>10</v>
      </c>
      <c r="D42" s="60">
        <v>6</v>
      </c>
      <c r="E42" s="60"/>
      <c r="F42" s="60"/>
      <c r="G42" s="61"/>
      <c r="H42" s="61"/>
      <c r="I42" s="62"/>
      <c r="J42" s="288">
        <v>450</v>
      </c>
      <c r="K42" s="288"/>
      <c r="L42" s="288">
        <v>450</v>
      </c>
      <c r="M42" s="288"/>
      <c r="N42" s="134"/>
    </row>
    <row r="43" spans="1:14" s="41" customFormat="1" ht="13.5" customHeight="1" hidden="1">
      <c r="A43" s="66" t="s">
        <v>15</v>
      </c>
      <c r="B43" s="49"/>
      <c r="C43" s="56">
        <v>11</v>
      </c>
      <c r="D43" s="56">
        <v>0</v>
      </c>
      <c r="E43" s="56"/>
      <c r="F43" s="56"/>
      <c r="G43" s="57"/>
      <c r="H43" s="57"/>
      <c r="I43" s="58"/>
      <c r="J43" s="289">
        <f>J44</f>
        <v>0</v>
      </c>
      <c r="K43" s="289">
        <f>K44</f>
        <v>0</v>
      </c>
      <c r="L43" s="289">
        <f>L44</f>
        <v>0</v>
      </c>
      <c r="M43" s="288" t="e">
        <f t="shared" si="2"/>
        <v>#DIV/0!</v>
      </c>
      <c r="N43" s="134"/>
    </row>
    <row r="44" spans="1:14" s="41" customFormat="1" ht="13.5" customHeight="1" hidden="1">
      <c r="A44" s="59" t="s">
        <v>14</v>
      </c>
      <c r="B44" s="49"/>
      <c r="C44" s="60">
        <v>11</v>
      </c>
      <c r="D44" s="60">
        <v>1</v>
      </c>
      <c r="E44" s="60"/>
      <c r="F44" s="60"/>
      <c r="G44" s="61"/>
      <c r="H44" s="61"/>
      <c r="I44" s="62"/>
      <c r="J44" s="288">
        <v>0</v>
      </c>
      <c r="K44" s="288">
        <v>0</v>
      </c>
      <c r="L44" s="288">
        <v>0</v>
      </c>
      <c r="M44" s="288" t="e">
        <f t="shared" si="2"/>
        <v>#DIV/0!</v>
      </c>
      <c r="N44" s="134"/>
    </row>
    <row r="45" spans="1:14" ht="13.5" customHeight="1">
      <c r="A45" s="66" t="s">
        <v>108</v>
      </c>
      <c r="B45" s="53"/>
      <c r="C45" s="56">
        <v>12</v>
      </c>
      <c r="D45" s="56">
        <v>0</v>
      </c>
      <c r="E45" s="57"/>
      <c r="F45" s="57"/>
      <c r="G45" s="57"/>
      <c r="H45" s="57"/>
      <c r="I45" s="58"/>
      <c r="J45" s="286">
        <f>J46</f>
        <v>97.6</v>
      </c>
      <c r="K45" s="286">
        <f>K46</f>
        <v>157.8</v>
      </c>
      <c r="L45" s="286">
        <f>L46</f>
        <v>97.6</v>
      </c>
      <c r="M45" s="288">
        <f t="shared" si="2"/>
        <v>61.85044359949302</v>
      </c>
      <c r="N45" s="126"/>
    </row>
    <row r="46" spans="1:14" ht="12.75">
      <c r="A46" s="59" t="s">
        <v>109</v>
      </c>
      <c r="B46" s="49"/>
      <c r="C46" s="60">
        <v>12</v>
      </c>
      <c r="D46" s="60">
        <v>2</v>
      </c>
      <c r="E46" s="61"/>
      <c r="F46" s="61"/>
      <c r="G46" s="61"/>
      <c r="H46" s="61"/>
      <c r="I46" s="62"/>
      <c r="J46" s="287">
        <v>97.6</v>
      </c>
      <c r="K46" s="287">
        <v>157.8</v>
      </c>
      <c r="L46" s="287">
        <v>97.6</v>
      </c>
      <c r="M46" s="288">
        <f t="shared" si="2"/>
        <v>61.85044359949302</v>
      </c>
      <c r="N46" s="126"/>
    </row>
    <row r="47" spans="1:14" ht="25.5" customHeight="1" hidden="1">
      <c r="A47" s="66" t="s">
        <v>110</v>
      </c>
      <c r="B47" s="53"/>
      <c r="C47" s="56">
        <v>13</v>
      </c>
      <c r="D47" s="56">
        <v>0</v>
      </c>
      <c r="E47" s="57"/>
      <c r="F47" s="57"/>
      <c r="G47" s="57"/>
      <c r="H47" s="57"/>
      <c r="I47" s="58"/>
      <c r="J47" s="286">
        <f>J48</f>
        <v>0</v>
      </c>
      <c r="K47" s="286">
        <f>K48</f>
        <v>4.5</v>
      </c>
      <c r="L47" s="286">
        <f>L48</f>
        <v>0</v>
      </c>
      <c r="M47" s="288">
        <f t="shared" si="2"/>
        <v>0</v>
      </c>
      <c r="N47" s="126"/>
    </row>
    <row r="48" spans="1:14" ht="27" customHeight="1" hidden="1">
      <c r="A48" s="59" t="s">
        <v>121</v>
      </c>
      <c r="B48" s="49"/>
      <c r="C48" s="60">
        <v>13</v>
      </c>
      <c r="D48" s="60">
        <v>1</v>
      </c>
      <c r="E48" s="61"/>
      <c r="F48" s="61"/>
      <c r="G48" s="61"/>
      <c r="H48" s="61"/>
      <c r="I48" s="62"/>
      <c r="J48" s="287">
        <v>0</v>
      </c>
      <c r="K48" s="287">
        <v>4.5</v>
      </c>
      <c r="L48" s="287">
        <v>0</v>
      </c>
      <c r="M48" s="288">
        <f t="shared" si="2"/>
        <v>0</v>
      </c>
      <c r="N48" s="126"/>
    </row>
    <row r="49" spans="1:14" ht="18" customHeight="1">
      <c r="A49" s="66" t="s">
        <v>13</v>
      </c>
      <c r="B49" s="53"/>
      <c r="C49" s="56"/>
      <c r="D49" s="56"/>
      <c r="E49" s="57"/>
      <c r="F49" s="57"/>
      <c r="G49" s="57"/>
      <c r="H49" s="57"/>
      <c r="I49" s="58"/>
      <c r="J49" s="286">
        <f>J14+J22+J24+J27+J30+J35+J37+J39+J45+J47</f>
        <v>164879.80000000002</v>
      </c>
      <c r="K49" s="286">
        <f>K14+K22+K24+K27+K30+K35+K37+K39+K45+K47</f>
        <v>100667.8</v>
      </c>
      <c r="L49" s="286">
        <f>L14+L22+L24+L27+L30+L35+L37+L39+L45+L47</f>
        <v>160620.90000000002</v>
      </c>
      <c r="M49" s="288">
        <f>L49/K49*100</f>
        <v>159.55538911151334</v>
      </c>
      <c r="N49" s="126"/>
    </row>
    <row r="50" spans="1:10" ht="12.75">
      <c r="A50" s="42"/>
      <c r="B50" s="42"/>
      <c r="C50" s="42"/>
      <c r="D50" s="42"/>
      <c r="E50" s="42"/>
      <c r="F50" s="42"/>
      <c r="G50" s="43"/>
      <c r="H50" s="44"/>
      <c r="I50" s="44"/>
      <c r="J50" s="296"/>
    </row>
    <row r="51" spans="9:10" ht="15.75">
      <c r="I51" s="47"/>
      <c r="J51" s="297"/>
    </row>
    <row r="52" ht="12.75">
      <c r="J52" s="298"/>
    </row>
    <row r="53" ht="12.75">
      <c r="P53" s="28" t="s">
        <v>155</v>
      </c>
    </row>
  </sheetData>
  <sheetProtection/>
  <mergeCells count="8">
    <mergeCell ref="J2:N2"/>
    <mergeCell ref="J4:N4"/>
    <mergeCell ref="J5:N5"/>
    <mergeCell ref="E12:H12"/>
    <mergeCell ref="E11:H11"/>
    <mergeCell ref="A8:M8"/>
    <mergeCell ref="A9:M9"/>
    <mergeCell ref="J3:M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254"/>
  <sheetViews>
    <sheetView zoomScale="75" zoomScaleNormal="75" zoomScalePageLayoutView="0" workbookViewId="0" topLeftCell="A1">
      <selection activeCell="G6" sqref="G6:I6"/>
    </sheetView>
  </sheetViews>
  <sheetFormatPr defaultColWidth="9.00390625" defaultRowHeight="12.75"/>
  <cols>
    <col min="1" max="1" width="52.625" style="148" customWidth="1"/>
    <col min="2" max="2" width="8.875" style="147" customWidth="1"/>
    <col min="3" max="3" width="4.375" style="147" customWidth="1"/>
    <col min="4" max="4" width="6.25390625" style="147" customWidth="1"/>
    <col min="5" max="5" width="13.00390625" style="147" customWidth="1"/>
    <col min="6" max="6" width="6.25390625" style="147" customWidth="1"/>
    <col min="7" max="7" width="17.25390625" style="147" customWidth="1"/>
    <col min="8" max="8" width="17.125" style="232" customWidth="1"/>
    <col min="9" max="16384" width="9.125" style="147" customWidth="1"/>
  </cols>
  <sheetData>
    <row r="1" spans="5:7" ht="15.75" customHeight="1">
      <c r="E1" s="197"/>
      <c r="F1" s="197"/>
      <c r="G1" s="197"/>
    </row>
    <row r="2" spans="5:9" ht="15.75" customHeight="1">
      <c r="E2" s="197"/>
      <c r="F2" s="197"/>
      <c r="G2" s="386" t="s">
        <v>74</v>
      </c>
      <c r="H2" s="386"/>
      <c r="I2" s="386"/>
    </row>
    <row r="3" spans="5:11" ht="15.75" customHeight="1">
      <c r="E3" s="197"/>
      <c r="F3" s="197"/>
      <c r="G3" s="381" t="s">
        <v>354</v>
      </c>
      <c r="H3" s="380"/>
      <c r="I3" s="380"/>
      <c r="J3" s="380"/>
      <c r="K3" s="380"/>
    </row>
    <row r="4" spans="5:11" ht="15.75" customHeight="1">
      <c r="E4" s="197"/>
      <c r="F4" s="197"/>
      <c r="G4" s="385" t="s">
        <v>350</v>
      </c>
      <c r="H4" s="356"/>
      <c r="I4" s="356"/>
      <c r="J4" s="356"/>
      <c r="K4" s="322"/>
    </row>
    <row r="5" spans="5:9" ht="15.75" customHeight="1">
      <c r="E5" s="197"/>
      <c r="F5" s="197"/>
      <c r="G5" s="387" t="s">
        <v>146</v>
      </c>
      <c r="H5" s="387"/>
      <c r="I5" s="387"/>
    </row>
    <row r="6" spans="5:9" ht="15.75" customHeight="1">
      <c r="E6" s="197"/>
      <c r="F6" s="197"/>
      <c r="G6" s="388" t="s">
        <v>250</v>
      </c>
      <c r="H6" s="388"/>
      <c r="I6" s="388"/>
    </row>
    <row r="7" spans="5:8" ht="15.75" customHeight="1">
      <c r="E7" s="197"/>
      <c r="F7" s="197"/>
      <c r="H7" s="147"/>
    </row>
    <row r="8" ht="15.75">
      <c r="F8" s="200"/>
    </row>
    <row r="9" spans="1:8" ht="14.25">
      <c r="A9" s="389" t="s">
        <v>358</v>
      </c>
      <c r="B9" s="390"/>
      <c r="C9" s="390"/>
      <c r="D9" s="390"/>
      <c r="E9" s="390"/>
      <c r="F9" s="390"/>
      <c r="G9" s="390"/>
      <c r="H9" s="390"/>
    </row>
    <row r="10" spans="1:8" ht="18" customHeight="1">
      <c r="A10" s="391" t="s">
        <v>254</v>
      </c>
      <c r="B10" s="392"/>
      <c r="C10" s="392"/>
      <c r="D10" s="392"/>
      <c r="E10" s="392"/>
      <c r="F10" s="392"/>
      <c r="G10" s="392"/>
      <c r="H10" s="392"/>
    </row>
    <row r="11" spans="1:8" ht="19.5" customHeight="1">
      <c r="A11" s="201"/>
      <c r="B11" s="201"/>
      <c r="C11" s="201"/>
      <c r="G11" s="202"/>
      <c r="H11" s="315" t="s">
        <v>226</v>
      </c>
    </row>
    <row r="12" spans="1:8" ht="21.75" customHeight="1">
      <c r="A12" s="87" t="s">
        <v>197</v>
      </c>
      <c r="B12" s="88" t="s">
        <v>40</v>
      </c>
      <c r="C12" s="88" t="s">
        <v>194</v>
      </c>
      <c r="D12" s="88" t="s">
        <v>195</v>
      </c>
      <c r="E12" s="88" t="s">
        <v>39</v>
      </c>
      <c r="F12" s="88" t="s">
        <v>38</v>
      </c>
      <c r="G12" s="89" t="s">
        <v>74</v>
      </c>
      <c r="H12" s="316" t="s">
        <v>192</v>
      </c>
    </row>
    <row r="13" spans="1:8" ht="12.75">
      <c r="A13" s="204">
        <v>1</v>
      </c>
      <c r="B13" s="205">
        <v>2</v>
      </c>
      <c r="C13" s="205">
        <v>3</v>
      </c>
      <c r="D13" s="205">
        <v>4</v>
      </c>
      <c r="E13" s="205">
        <v>5</v>
      </c>
      <c r="F13" s="205">
        <v>6</v>
      </c>
      <c r="G13" s="205">
        <v>7</v>
      </c>
      <c r="H13" s="317">
        <v>8</v>
      </c>
    </row>
    <row r="14" spans="1:8" ht="19.5" customHeight="1">
      <c r="A14" s="206" t="s">
        <v>442</v>
      </c>
      <c r="B14" s="206">
        <v>156</v>
      </c>
      <c r="C14" s="209"/>
      <c r="D14" s="209"/>
      <c r="E14" s="209"/>
      <c r="F14" s="209"/>
      <c r="G14" s="207">
        <f>G253</f>
        <v>164879.80000000002</v>
      </c>
      <c r="H14" s="207">
        <f>H253</f>
        <v>160620.90000000002</v>
      </c>
    </row>
    <row r="15" spans="1:8" ht="21.75" customHeight="1">
      <c r="A15" s="203" t="s">
        <v>148</v>
      </c>
      <c r="B15" s="206">
        <v>156</v>
      </c>
      <c r="C15" s="208" t="s">
        <v>149</v>
      </c>
      <c r="D15" s="208" t="s">
        <v>66</v>
      </c>
      <c r="E15" s="209"/>
      <c r="F15" s="209"/>
      <c r="G15" s="210">
        <f>G16+G23+G30+G52+G58+G55</f>
        <v>12686.7</v>
      </c>
      <c r="H15" s="210">
        <f>H16+H23+H30+H52+H58+H55</f>
        <v>12477.1</v>
      </c>
    </row>
    <row r="16" spans="1:8" ht="17.25" customHeight="1" hidden="1">
      <c r="A16" s="203" t="s">
        <v>36</v>
      </c>
      <c r="B16" s="206">
        <v>156</v>
      </c>
      <c r="C16" s="208" t="s">
        <v>149</v>
      </c>
      <c r="D16" s="208" t="s">
        <v>70</v>
      </c>
      <c r="E16" s="206"/>
      <c r="F16" s="206"/>
      <c r="G16" s="210">
        <f aca="true" t="shared" si="0" ref="G16:H18">G17</f>
        <v>0</v>
      </c>
      <c r="H16" s="210">
        <f t="shared" si="0"/>
        <v>0</v>
      </c>
    </row>
    <row r="17" spans="1:8" ht="16.5" customHeight="1" hidden="1">
      <c r="A17" s="211" t="s">
        <v>150</v>
      </c>
      <c r="B17" s="206">
        <v>156</v>
      </c>
      <c r="C17" s="212" t="s">
        <v>149</v>
      </c>
      <c r="D17" s="212" t="s">
        <v>70</v>
      </c>
      <c r="E17" s="209">
        <v>9100000000</v>
      </c>
      <c r="F17" s="209"/>
      <c r="G17" s="213">
        <f t="shared" si="0"/>
        <v>0</v>
      </c>
      <c r="H17" s="213">
        <f t="shared" si="0"/>
        <v>0</v>
      </c>
    </row>
    <row r="18" spans="1:8" ht="18" customHeight="1" hidden="1">
      <c r="A18" s="211" t="s">
        <v>360</v>
      </c>
      <c r="B18" s="206">
        <v>156</v>
      </c>
      <c r="C18" s="212" t="s">
        <v>149</v>
      </c>
      <c r="D18" s="212" t="s">
        <v>70</v>
      </c>
      <c r="E18" s="209">
        <v>9100000180</v>
      </c>
      <c r="F18" s="209"/>
      <c r="G18" s="213">
        <f t="shared" si="0"/>
        <v>0</v>
      </c>
      <c r="H18" s="213">
        <f t="shared" si="0"/>
        <v>0</v>
      </c>
    </row>
    <row r="19" spans="1:8" ht="33.75" customHeight="1" hidden="1">
      <c r="A19" s="211" t="s">
        <v>361</v>
      </c>
      <c r="B19" s="206">
        <v>156</v>
      </c>
      <c r="C19" s="212" t="s">
        <v>149</v>
      </c>
      <c r="D19" s="212" t="s">
        <v>70</v>
      </c>
      <c r="E19" s="209">
        <v>9100000180</v>
      </c>
      <c r="F19" s="209"/>
      <c r="G19" s="213">
        <f>G20+G21+G22</f>
        <v>0</v>
      </c>
      <c r="H19" s="213">
        <f>H20+H21+H22</f>
        <v>0</v>
      </c>
    </row>
    <row r="20" spans="1:8" ht="33.75" customHeight="1" hidden="1">
      <c r="A20" s="211" t="s">
        <v>67</v>
      </c>
      <c r="B20" s="206">
        <v>156</v>
      </c>
      <c r="C20" s="212" t="s">
        <v>149</v>
      </c>
      <c r="D20" s="212" t="s">
        <v>70</v>
      </c>
      <c r="E20" s="209">
        <v>9100000180</v>
      </c>
      <c r="F20" s="209">
        <v>121</v>
      </c>
      <c r="G20" s="213"/>
      <c r="H20" s="318"/>
    </row>
    <row r="21" spans="1:8" ht="49.5" customHeight="1" hidden="1">
      <c r="A21" s="211" t="s">
        <v>362</v>
      </c>
      <c r="B21" s="206">
        <v>156</v>
      </c>
      <c r="C21" s="212" t="s">
        <v>149</v>
      </c>
      <c r="D21" s="212" t="s">
        <v>70</v>
      </c>
      <c r="E21" s="209">
        <v>9100000180</v>
      </c>
      <c r="F21" s="209">
        <v>122</v>
      </c>
      <c r="G21" s="213"/>
      <c r="H21" s="318"/>
    </row>
    <row r="22" spans="1:8" ht="49.5" customHeight="1" hidden="1">
      <c r="A22" s="211" t="s">
        <v>151</v>
      </c>
      <c r="B22" s="206">
        <v>156</v>
      </c>
      <c r="C22" s="212" t="s">
        <v>149</v>
      </c>
      <c r="D22" s="212" t="s">
        <v>70</v>
      </c>
      <c r="E22" s="209">
        <v>9100000180</v>
      </c>
      <c r="F22" s="209">
        <v>129</v>
      </c>
      <c r="G22" s="213"/>
      <c r="H22" s="318"/>
    </row>
    <row r="23" spans="1:8" ht="50.25" customHeight="1" hidden="1">
      <c r="A23" s="203" t="s">
        <v>116</v>
      </c>
      <c r="B23" s="206">
        <v>156</v>
      </c>
      <c r="C23" s="208" t="s">
        <v>149</v>
      </c>
      <c r="D23" s="208" t="s">
        <v>152</v>
      </c>
      <c r="E23" s="206"/>
      <c r="F23" s="206"/>
      <c r="G23" s="210">
        <f>G24</f>
        <v>0</v>
      </c>
      <c r="H23" s="210">
        <f>H24</f>
        <v>0</v>
      </c>
    </row>
    <row r="24" spans="1:8" ht="34.5" customHeight="1" hidden="1">
      <c r="A24" s="211" t="s">
        <v>363</v>
      </c>
      <c r="B24" s="206">
        <v>156</v>
      </c>
      <c r="C24" s="212" t="s">
        <v>149</v>
      </c>
      <c r="D24" s="212" t="s">
        <v>152</v>
      </c>
      <c r="E24" s="209">
        <v>9200000000</v>
      </c>
      <c r="F24" s="209"/>
      <c r="G24" s="213">
        <f>G25</f>
        <v>0</v>
      </c>
      <c r="H24" s="213">
        <f>H25</f>
        <v>0</v>
      </c>
    </row>
    <row r="25" spans="1:8" ht="30.75" customHeight="1" hidden="1">
      <c r="A25" s="211" t="s">
        <v>364</v>
      </c>
      <c r="B25" s="206">
        <v>156</v>
      </c>
      <c r="C25" s="212" t="s">
        <v>149</v>
      </c>
      <c r="D25" s="212" t="s">
        <v>152</v>
      </c>
      <c r="E25" s="209">
        <v>9200000190</v>
      </c>
      <c r="F25" s="209"/>
      <c r="G25" s="213">
        <f>G26+G27+G28+G29</f>
        <v>0</v>
      </c>
      <c r="H25" s="213">
        <f>H26+H27+H28+H29</f>
        <v>0</v>
      </c>
    </row>
    <row r="26" spans="1:8" ht="33.75" customHeight="1" hidden="1">
      <c r="A26" s="211" t="s">
        <v>365</v>
      </c>
      <c r="B26" s="206">
        <v>156</v>
      </c>
      <c r="C26" s="212" t="s">
        <v>149</v>
      </c>
      <c r="D26" s="212" t="s">
        <v>152</v>
      </c>
      <c r="E26" s="209">
        <v>9200000190</v>
      </c>
      <c r="F26" s="209">
        <v>123</v>
      </c>
      <c r="G26" s="213">
        <f>10-10</f>
        <v>0</v>
      </c>
      <c r="H26" s="213">
        <v>0</v>
      </c>
    </row>
    <row r="27" spans="1:8" ht="34.5" customHeight="1" hidden="1">
      <c r="A27" s="211" t="s">
        <v>366</v>
      </c>
      <c r="B27" s="206">
        <v>156</v>
      </c>
      <c r="C27" s="212" t="s">
        <v>149</v>
      </c>
      <c r="D27" s="212" t="s">
        <v>152</v>
      </c>
      <c r="E27" s="209">
        <v>9200000190</v>
      </c>
      <c r="F27" s="209">
        <v>244</v>
      </c>
      <c r="G27" s="213">
        <f>29.6-29.6</f>
        <v>0</v>
      </c>
      <c r="H27" s="213">
        <v>0</v>
      </c>
    </row>
    <row r="28" spans="1:8" ht="34.5" customHeight="1" hidden="1">
      <c r="A28" s="211" t="s">
        <v>367</v>
      </c>
      <c r="B28" s="206">
        <v>156</v>
      </c>
      <c r="C28" s="212" t="s">
        <v>149</v>
      </c>
      <c r="D28" s="212" t="s">
        <v>152</v>
      </c>
      <c r="E28" s="209">
        <v>9200000190</v>
      </c>
      <c r="F28" s="209">
        <v>831</v>
      </c>
      <c r="G28" s="213">
        <v>0</v>
      </c>
      <c r="H28" s="213">
        <v>0</v>
      </c>
    </row>
    <row r="29" spans="1:8" ht="24.75" customHeight="1" hidden="1">
      <c r="A29" s="214" t="s">
        <v>69</v>
      </c>
      <c r="B29" s="206">
        <v>156</v>
      </c>
      <c r="C29" s="212" t="s">
        <v>149</v>
      </c>
      <c r="D29" s="212" t="s">
        <v>152</v>
      </c>
      <c r="E29" s="209">
        <v>9200000190</v>
      </c>
      <c r="F29" s="209">
        <v>853</v>
      </c>
      <c r="G29" s="213">
        <f>0.5-0.5</f>
        <v>0</v>
      </c>
      <c r="H29" s="213"/>
    </row>
    <row r="30" spans="1:8" ht="46.5" customHeight="1">
      <c r="A30" s="203" t="s">
        <v>153</v>
      </c>
      <c r="B30" s="206">
        <v>156</v>
      </c>
      <c r="C30" s="208" t="s">
        <v>149</v>
      </c>
      <c r="D30" s="208" t="s">
        <v>154</v>
      </c>
      <c r="E30" s="206"/>
      <c r="F30" s="206"/>
      <c r="G30" s="210">
        <f>G33+G38+G40+G42+G44+G46+G48+G50</f>
        <v>6303.700000000001</v>
      </c>
      <c r="H30" s="210">
        <f>H33+H38+H40+H42+H44+H46+H48+H50</f>
        <v>6303.700000000001</v>
      </c>
    </row>
    <row r="31" spans="1:8" ht="33" customHeight="1" hidden="1">
      <c r="A31" s="211" t="s">
        <v>150</v>
      </c>
      <c r="B31" s="206">
        <v>156</v>
      </c>
      <c r="C31" s="212" t="s">
        <v>149</v>
      </c>
      <c r="D31" s="212" t="s">
        <v>154</v>
      </c>
      <c r="E31" s="209"/>
      <c r="F31" s="209"/>
      <c r="G31" s="213"/>
      <c r="H31" s="213"/>
    </row>
    <row r="32" spans="1:8" ht="30" customHeight="1">
      <c r="A32" s="211" t="s">
        <v>150</v>
      </c>
      <c r="B32" s="206">
        <v>156</v>
      </c>
      <c r="C32" s="212" t="s">
        <v>149</v>
      </c>
      <c r="D32" s="212" t="s">
        <v>154</v>
      </c>
      <c r="E32" s="209">
        <v>9100000000</v>
      </c>
      <c r="F32" s="209"/>
      <c r="G32" s="213">
        <f>G33+G38+G40+G42+G44+G46+G48+G50</f>
        <v>6303.700000000001</v>
      </c>
      <c r="H32" s="213">
        <f>H33+H38+H40+H42+H44+H46+H48+H50</f>
        <v>6303.700000000001</v>
      </c>
    </row>
    <row r="33" spans="1:8" ht="32.25" customHeight="1">
      <c r="A33" s="211" t="s">
        <v>271</v>
      </c>
      <c r="B33" s="206">
        <v>156</v>
      </c>
      <c r="C33" s="212" t="s">
        <v>149</v>
      </c>
      <c r="D33" s="212" t="s">
        <v>154</v>
      </c>
      <c r="E33" s="209">
        <v>9100000190</v>
      </c>
      <c r="F33" s="209"/>
      <c r="G33" s="213">
        <f>G34+G35+G36+G37</f>
        <v>3644.7000000000003</v>
      </c>
      <c r="H33" s="213">
        <f>H34+H35+H36+H37</f>
        <v>3644.7000000000003</v>
      </c>
    </row>
    <row r="34" spans="1:8" ht="30.75" customHeight="1">
      <c r="A34" s="215" t="s">
        <v>368</v>
      </c>
      <c r="B34" s="206">
        <v>156</v>
      </c>
      <c r="C34" s="212" t="s">
        <v>149</v>
      </c>
      <c r="D34" s="212" t="s">
        <v>154</v>
      </c>
      <c r="E34" s="209">
        <v>9100000190</v>
      </c>
      <c r="F34" s="216">
        <v>120</v>
      </c>
      <c r="G34" s="213">
        <f>2369.7-34.1+1.8+716.4-267+300-200+192+58+120+69.5-102.9</f>
        <v>3223.4</v>
      </c>
      <c r="H34" s="213">
        <f>2369.7-34.1+1.8+716.4-267+300-200+192+58+120+69.5-102.9</f>
        <v>3223.4</v>
      </c>
    </row>
    <row r="35" spans="1:8" ht="48" customHeight="1">
      <c r="A35" s="215" t="s">
        <v>369</v>
      </c>
      <c r="B35" s="206">
        <v>156</v>
      </c>
      <c r="C35" s="212" t="s">
        <v>149</v>
      </c>
      <c r="D35" s="212" t="s">
        <v>154</v>
      </c>
      <c r="E35" s="209">
        <v>9100000190</v>
      </c>
      <c r="F35" s="216">
        <v>240</v>
      </c>
      <c r="G35" s="213">
        <f>113+130+168.5-89.6-37.2+40-24.2+126-48</f>
        <v>378.5</v>
      </c>
      <c r="H35" s="213">
        <f>113+130+168.5-89.6-37.2+40-24.2+126-48</f>
        <v>378.5</v>
      </c>
    </row>
    <row r="36" spans="1:8" ht="33" customHeight="1">
      <c r="A36" s="215" t="s">
        <v>370</v>
      </c>
      <c r="B36" s="206">
        <v>156</v>
      </c>
      <c r="C36" s="212" t="s">
        <v>149</v>
      </c>
      <c r="D36" s="212" t="s">
        <v>154</v>
      </c>
      <c r="E36" s="209">
        <v>9100000190</v>
      </c>
      <c r="F36" s="216">
        <v>320</v>
      </c>
      <c r="G36" s="213">
        <f>34.1+8.3</f>
        <v>42.400000000000006</v>
      </c>
      <c r="H36" s="213">
        <f>34.1+8.3</f>
        <v>42.400000000000006</v>
      </c>
    </row>
    <row r="37" spans="1:8" ht="17.25" customHeight="1">
      <c r="A37" s="215" t="s">
        <v>371</v>
      </c>
      <c r="B37" s="206">
        <v>156</v>
      </c>
      <c r="C37" s="212" t="s">
        <v>149</v>
      </c>
      <c r="D37" s="212" t="s">
        <v>154</v>
      </c>
      <c r="E37" s="209">
        <v>9100000190</v>
      </c>
      <c r="F37" s="216">
        <v>850</v>
      </c>
      <c r="G37" s="213">
        <f>1+1-1.6</f>
        <v>0.3999999999999999</v>
      </c>
      <c r="H37" s="213">
        <f>1+1-1.6</f>
        <v>0.3999999999999999</v>
      </c>
    </row>
    <row r="38" spans="1:8" ht="67.5" customHeight="1">
      <c r="A38" s="211" t="s">
        <v>324</v>
      </c>
      <c r="B38" s="206">
        <v>156</v>
      </c>
      <c r="C38" s="212" t="s">
        <v>149</v>
      </c>
      <c r="D38" s="212" t="s">
        <v>154</v>
      </c>
      <c r="E38" s="209">
        <v>9100070030</v>
      </c>
      <c r="F38" s="216"/>
      <c r="G38" s="213">
        <f>G39</f>
        <v>1260</v>
      </c>
      <c r="H38" s="213">
        <f>H39</f>
        <v>1260</v>
      </c>
    </row>
    <row r="39" spans="1:8" ht="30" customHeight="1">
      <c r="A39" s="215" t="s">
        <v>368</v>
      </c>
      <c r="B39" s="206">
        <v>156</v>
      </c>
      <c r="C39" s="212" t="s">
        <v>149</v>
      </c>
      <c r="D39" s="212" t="s">
        <v>154</v>
      </c>
      <c r="E39" s="209">
        <v>9100070030</v>
      </c>
      <c r="F39" s="216">
        <v>120</v>
      </c>
      <c r="G39" s="213">
        <f>807+243+210</f>
        <v>1260</v>
      </c>
      <c r="H39" s="213">
        <f>807+243+210</f>
        <v>1260</v>
      </c>
    </row>
    <row r="40" spans="1:8" ht="47.25" customHeight="1">
      <c r="A40" s="211" t="s">
        <v>158</v>
      </c>
      <c r="B40" s="206">
        <v>156</v>
      </c>
      <c r="C40" s="217" t="s">
        <v>149</v>
      </c>
      <c r="D40" s="217" t="s">
        <v>154</v>
      </c>
      <c r="E40" s="218">
        <v>9100090110</v>
      </c>
      <c r="F40" s="218"/>
      <c r="G40" s="213">
        <f>G41</f>
        <v>459</v>
      </c>
      <c r="H40" s="213">
        <f>H41</f>
        <v>459</v>
      </c>
    </row>
    <row r="41" spans="1:8" ht="15.75">
      <c r="A41" s="211" t="s">
        <v>18</v>
      </c>
      <c r="B41" s="206">
        <v>156</v>
      </c>
      <c r="C41" s="217" t="s">
        <v>149</v>
      </c>
      <c r="D41" s="217" t="s">
        <v>154</v>
      </c>
      <c r="E41" s="218">
        <v>9100090110</v>
      </c>
      <c r="F41" s="218">
        <v>540</v>
      </c>
      <c r="G41" s="213">
        <f>444.1+14.9</f>
        <v>459</v>
      </c>
      <c r="H41" s="213">
        <f>444.1+14.9</f>
        <v>459</v>
      </c>
    </row>
    <row r="42" spans="1:8" ht="110.25">
      <c r="A42" s="220" t="s">
        <v>278</v>
      </c>
      <c r="B42" s="206">
        <v>156</v>
      </c>
      <c r="C42" s="212" t="s">
        <v>149</v>
      </c>
      <c r="D42" s="212" t="s">
        <v>154</v>
      </c>
      <c r="E42" s="209">
        <v>9100090120</v>
      </c>
      <c r="F42" s="209"/>
      <c r="G42" s="213">
        <f>G43</f>
        <v>136.7</v>
      </c>
      <c r="H42" s="213">
        <f>H43</f>
        <v>136.7</v>
      </c>
    </row>
    <row r="43" spans="1:8" ht="15.75">
      <c r="A43" s="211" t="s">
        <v>18</v>
      </c>
      <c r="B43" s="206">
        <v>156</v>
      </c>
      <c r="C43" s="212" t="s">
        <v>149</v>
      </c>
      <c r="D43" s="212" t="s">
        <v>154</v>
      </c>
      <c r="E43" s="209">
        <v>9100090120</v>
      </c>
      <c r="F43" s="209">
        <v>540</v>
      </c>
      <c r="G43" s="213">
        <v>136.7</v>
      </c>
      <c r="H43" s="213">
        <v>136.7</v>
      </c>
    </row>
    <row r="44" spans="1:8" ht="111.75" customHeight="1">
      <c r="A44" s="220" t="s">
        <v>199</v>
      </c>
      <c r="B44" s="206">
        <v>156</v>
      </c>
      <c r="C44" s="212" t="s">
        <v>149</v>
      </c>
      <c r="D44" s="212" t="s">
        <v>154</v>
      </c>
      <c r="E44" s="209">
        <v>9100090150</v>
      </c>
      <c r="F44" s="209"/>
      <c r="G44" s="213">
        <f>G45</f>
        <v>79.5</v>
      </c>
      <c r="H44" s="213">
        <f>H45</f>
        <v>79.5</v>
      </c>
    </row>
    <row r="45" spans="1:8" ht="15.75">
      <c r="A45" s="211" t="s">
        <v>18</v>
      </c>
      <c r="B45" s="206">
        <v>156</v>
      </c>
      <c r="C45" s="212" t="s">
        <v>149</v>
      </c>
      <c r="D45" s="212" t="s">
        <v>154</v>
      </c>
      <c r="E45" s="209">
        <v>9100090150</v>
      </c>
      <c r="F45" s="209">
        <v>540</v>
      </c>
      <c r="G45" s="213">
        <f>84.5-7.9+2.9</f>
        <v>79.5</v>
      </c>
      <c r="H45" s="213">
        <f>84.5-7.9+2.9</f>
        <v>79.5</v>
      </c>
    </row>
    <row r="46" spans="1:8" ht="76.5" customHeight="1">
      <c r="A46" s="221" t="s">
        <v>255</v>
      </c>
      <c r="B46" s="206">
        <v>156</v>
      </c>
      <c r="C46" s="212" t="s">
        <v>149</v>
      </c>
      <c r="D46" s="212" t="s">
        <v>154</v>
      </c>
      <c r="E46" s="209">
        <v>9100090160</v>
      </c>
      <c r="F46" s="209"/>
      <c r="G46" s="213">
        <f>G47</f>
        <v>122.8</v>
      </c>
      <c r="H46" s="213">
        <f>H47</f>
        <v>122.8</v>
      </c>
    </row>
    <row r="47" spans="1:8" ht="21" customHeight="1">
      <c r="A47" s="211" t="s">
        <v>18</v>
      </c>
      <c r="B47" s="206">
        <v>156</v>
      </c>
      <c r="C47" s="212" t="s">
        <v>149</v>
      </c>
      <c r="D47" s="212" t="s">
        <v>154</v>
      </c>
      <c r="E47" s="209">
        <v>9100090160</v>
      </c>
      <c r="F47" s="209">
        <v>540</v>
      </c>
      <c r="G47" s="213">
        <v>122.8</v>
      </c>
      <c r="H47" s="213">
        <v>122.8</v>
      </c>
    </row>
    <row r="48" spans="1:8" ht="31.5" customHeight="1">
      <c r="A48" s="222" t="s">
        <v>372</v>
      </c>
      <c r="B48" s="206">
        <v>156</v>
      </c>
      <c r="C48" s="217" t="s">
        <v>149</v>
      </c>
      <c r="D48" s="217" t="s">
        <v>154</v>
      </c>
      <c r="E48" s="218">
        <v>9100090210</v>
      </c>
      <c r="F48" s="218"/>
      <c r="G48" s="213">
        <f>G49</f>
        <v>444.3</v>
      </c>
      <c r="H48" s="213">
        <f>H49</f>
        <v>444.3</v>
      </c>
    </row>
    <row r="49" spans="1:8" ht="15.75">
      <c r="A49" s="211" t="s">
        <v>18</v>
      </c>
      <c r="B49" s="206">
        <v>156</v>
      </c>
      <c r="C49" s="217" t="s">
        <v>149</v>
      </c>
      <c r="D49" s="217" t="s">
        <v>154</v>
      </c>
      <c r="E49" s="218">
        <v>9100090210</v>
      </c>
      <c r="F49" s="218">
        <v>540</v>
      </c>
      <c r="G49" s="213">
        <f>424.1-5.6+25.8</f>
        <v>444.3</v>
      </c>
      <c r="H49" s="213">
        <f>424.1-5.6+25.8</f>
        <v>444.3</v>
      </c>
    </row>
    <row r="50" spans="1:8" ht="32.25" customHeight="1">
      <c r="A50" s="211" t="s">
        <v>159</v>
      </c>
      <c r="B50" s="206">
        <v>156</v>
      </c>
      <c r="C50" s="217" t="s">
        <v>149</v>
      </c>
      <c r="D50" s="217" t="s">
        <v>154</v>
      </c>
      <c r="E50" s="218">
        <v>9100090220</v>
      </c>
      <c r="F50" s="218"/>
      <c r="G50" s="213">
        <f>G51</f>
        <v>156.7</v>
      </c>
      <c r="H50" s="213">
        <f>H51</f>
        <v>156.7</v>
      </c>
    </row>
    <row r="51" spans="1:8" ht="15.75">
      <c r="A51" s="211" t="s">
        <v>18</v>
      </c>
      <c r="B51" s="206">
        <v>156</v>
      </c>
      <c r="C51" s="217" t="s">
        <v>149</v>
      </c>
      <c r="D51" s="217" t="s">
        <v>154</v>
      </c>
      <c r="E51" s="218">
        <v>9100090220</v>
      </c>
      <c r="F51" s="218">
        <v>540</v>
      </c>
      <c r="G51" s="213">
        <f>153.1+3.6</f>
        <v>156.7</v>
      </c>
      <c r="H51" s="213">
        <f>153.1+3.6</f>
        <v>156.7</v>
      </c>
    </row>
    <row r="52" spans="1:8" ht="48.75" customHeight="1">
      <c r="A52" s="203" t="s">
        <v>279</v>
      </c>
      <c r="B52" s="206">
        <v>156</v>
      </c>
      <c r="C52" s="208" t="s">
        <v>149</v>
      </c>
      <c r="D52" s="208" t="s">
        <v>160</v>
      </c>
      <c r="E52" s="206"/>
      <c r="F52" s="206"/>
      <c r="G52" s="210">
        <f>G53</f>
        <v>79.9</v>
      </c>
      <c r="H52" s="210">
        <f>H53</f>
        <v>79.9</v>
      </c>
    </row>
    <row r="53" spans="1:8" ht="30.75" customHeight="1">
      <c r="A53" s="211" t="s">
        <v>256</v>
      </c>
      <c r="B53" s="206">
        <v>156</v>
      </c>
      <c r="C53" s="212" t="s">
        <v>149</v>
      </c>
      <c r="D53" s="212" t="s">
        <v>160</v>
      </c>
      <c r="E53" s="209">
        <v>9100090130</v>
      </c>
      <c r="F53" s="209"/>
      <c r="G53" s="210">
        <f>G54</f>
        <v>79.9</v>
      </c>
      <c r="H53" s="210">
        <f>H54</f>
        <v>79.9</v>
      </c>
    </row>
    <row r="54" spans="1:8" ht="15.75">
      <c r="A54" s="211" t="s">
        <v>18</v>
      </c>
      <c r="B54" s="206">
        <v>156</v>
      </c>
      <c r="C54" s="212" t="s">
        <v>149</v>
      </c>
      <c r="D54" s="212" t="s">
        <v>160</v>
      </c>
      <c r="E54" s="209">
        <v>9100090130</v>
      </c>
      <c r="F54" s="209">
        <v>540</v>
      </c>
      <c r="G54" s="213">
        <f>78.2-0.7+2.4</f>
        <v>79.9</v>
      </c>
      <c r="H54" s="213">
        <f>78.2-0.7+2.4</f>
        <v>79.9</v>
      </c>
    </row>
    <row r="55" spans="1:8" ht="31.5" hidden="1">
      <c r="A55" s="203" t="s">
        <v>120</v>
      </c>
      <c r="B55" s="206">
        <v>156</v>
      </c>
      <c r="C55" s="208" t="s">
        <v>149</v>
      </c>
      <c r="D55" s="208" t="s">
        <v>24</v>
      </c>
      <c r="E55" s="206"/>
      <c r="F55" s="206"/>
      <c r="G55" s="224">
        <f>G56</f>
        <v>0</v>
      </c>
      <c r="H55" s="319">
        <f>H56</f>
        <v>0</v>
      </c>
    </row>
    <row r="56" spans="1:8" ht="31.5" hidden="1">
      <c r="A56" s="211" t="s">
        <v>373</v>
      </c>
      <c r="B56" s="206">
        <v>156</v>
      </c>
      <c r="C56" s="212" t="s">
        <v>149</v>
      </c>
      <c r="D56" s="212" t="s">
        <v>24</v>
      </c>
      <c r="E56" s="209">
        <v>9100000000</v>
      </c>
      <c r="F56" s="209"/>
      <c r="G56" s="225">
        <f>G57</f>
        <v>0</v>
      </c>
      <c r="H56" s="213">
        <f>H57</f>
        <v>0</v>
      </c>
    </row>
    <row r="57" spans="1:8" ht="18" customHeight="1" hidden="1">
      <c r="A57" s="211" t="s">
        <v>374</v>
      </c>
      <c r="B57" s="206">
        <v>156</v>
      </c>
      <c r="C57" s="212" t="s">
        <v>149</v>
      </c>
      <c r="D57" s="212" t="s">
        <v>24</v>
      </c>
      <c r="E57" s="209">
        <v>9100023080</v>
      </c>
      <c r="F57" s="209">
        <v>244</v>
      </c>
      <c r="G57" s="225"/>
      <c r="H57" s="318"/>
    </row>
    <row r="58" spans="1:8" ht="15.75">
      <c r="A58" s="203" t="s">
        <v>32</v>
      </c>
      <c r="B58" s="206">
        <v>156</v>
      </c>
      <c r="C58" s="208" t="s">
        <v>149</v>
      </c>
      <c r="D58" s="208">
        <v>13</v>
      </c>
      <c r="E58" s="206"/>
      <c r="F58" s="206"/>
      <c r="G58" s="210">
        <f>+G60+G64+G67+G69+G71+G75+G73+G77++G79+G81</f>
        <v>6303.099999999999</v>
      </c>
      <c r="H58" s="210">
        <f>+H60+H64+H67+H69+H71+H75+H73+H77++H79+H81</f>
        <v>6093.5</v>
      </c>
    </row>
    <row r="59" spans="1:8" ht="32.25" customHeight="1" hidden="1">
      <c r="A59" s="211" t="s">
        <v>376</v>
      </c>
      <c r="B59" s="226">
        <v>156</v>
      </c>
      <c r="C59" s="212" t="s">
        <v>149</v>
      </c>
      <c r="D59" s="212">
        <v>13</v>
      </c>
      <c r="E59" s="209"/>
      <c r="F59" s="209"/>
      <c r="G59" s="213">
        <f>G60</f>
        <v>3600.8999999999996</v>
      </c>
      <c r="H59" s="213">
        <f>H60</f>
        <v>3391.3</v>
      </c>
    </row>
    <row r="60" spans="1:8" ht="33" customHeight="1">
      <c r="A60" s="211" t="s">
        <v>271</v>
      </c>
      <c r="B60" s="206">
        <v>156</v>
      </c>
      <c r="C60" s="212" t="s">
        <v>149</v>
      </c>
      <c r="D60" s="212">
        <v>13</v>
      </c>
      <c r="E60" s="209">
        <v>9100000190</v>
      </c>
      <c r="F60" s="209"/>
      <c r="G60" s="213">
        <f>G62+G61+G63</f>
        <v>3600.8999999999996</v>
      </c>
      <c r="H60" s="213">
        <f>H62+H61+H63</f>
        <v>3391.3</v>
      </c>
    </row>
    <row r="61" spans="1:8" ht="49.5" customHeight="1">
      <c r="A61" s="215" t="s">
        <v>369</v>
      </c>
      <c r="B61" s="206">
        <v>156</v>
      </c>
      <c r="C61" s="212" t="s">
        <v>149</v>
      </c>
      <c r="D61" s="212" t="s">
        <v>161</v>
      </c>
      <c r="E61" s="209">
        <v>9100000190</v>
      </c>
      <c r="F61" s="216">
        <v>240</v>
      </c>
      <c r="G61" s="213">
        <f>3230+79.5-1310+788.9-150-242.7-256.3-5-65.8+10+80+5+5</f>
        <v>2168.6</v>
      </c>
      <c r="H61" s="223">
        <v>1959</v>
      </c>
    </row>
    <row r="62" spans="1:8" ht="18.75" customHeight="1">
      <c r="A62" s="211" t="s">
        <v>377</v>
      </c>
      <c r="B62" s="206">
        <v>156</v>
      </c>
      <c r="C62" s="212" t="s">
        <v>149</v>
      </c>
      <c r="D62" s="212">
        <v>13</v>
      </c>
      <c r="E62" s="209">
        <v>9100000190</v>
      </c>
      <c r="F62" s="216">
        <v>830</v>
      </c>
      <c r="G62" s="213">
        <f>2+3+5</f>
        <v>10</v>
      </c>
      <c r="H62" s="213">
        <f>2+3+5</f>
        <v>10</v>
      </c>
    </row>
    <row r="63" spans="1:8" ht="16.5" customHeight="1">
      <c r="A63" s="227" t="s">
        <v>371</v>
      </c>
      <c r="B63" s="206">
        <v>156</v>
      </c>
      <c r="C63" s="212" t="s">
        <v>149</v>
      </c>
      <c r="D63" s="212" t="s">
        <v>161</v>
      </c>
      <c r="E63" s="209">
        <v>9100000190</v>
      </c>
      <c r="F63" s="216">
        <v>850</v>
      </c>
      <c r="G63" s="213">
        <f>40+53+14+1090-15.4+250-9.3</f>
        <v>1422.3</v>
      </c>
      <c r="H63" s="213">
        <f>40+53+14+1090-15.4+250-9.3</f>
        <v>1422.3</v>
      </c>
    </row>
    <row r="64" spans="1:8" ht="45" customHeight="1">
      <c r="A64" s="228" t="s">
        <v>216</v>
      </c>
      <c r="B64" s="206">
        <v>156</v>
      </c>
      <c r="C64" s="212" t="s">
        <v>149</v>
      </c>
      <c r="D64" s="212" t="s">
        <v>161</v>
      </c>
      <c r="E64" s="209">
        <v>9100020530</v>
      </c>
      <c r="F64" s="216"/>
      <c r="G64" s="213">
        <f>G65+G66</f>
        <v>46</v>
      </c>
      <c r="H64" s="213">
        <f>H65+H66</f>
        <v>46</v>
      </c>
    </row>
    <row r="65" spans="1:8" ht="48" customHeight="1">
      <c r="A65" s="215" t="s">
        <v>369</v>
      </c>
      <c r="B65" s="206">
        <v>156</v>
      </c>
      <c r="C65" s="212" t="s">
        <v>149</v>
      </c>
      <c r="D65" s="212" t="s">
        <v>161</v>
      </c>
      <c r="E65" s="209">
        <v>9100020530</v>
      </c>
      <c r="F65" s="216">
        <v>240</v>
      </c>
      <c r="G65" s="213">
        <f>75-65+65+14-35.4-8.4</f>
        <v>45.2</v>
      </c>
      <c r="H65" s="213">
        <f>75-65+65+14-35.4-8.4</f>
        <v>45.2</v>
      </c>
    </row>
    <row r="66" spans="1:8" ht="22.5" customHeight="1">
      <c r="A66" s="227" t="s">
        <v>371</v>
      </c>
      <c r="B66" s="206">
        <v>156</v>
      </c>
      <c r="C66" s="212" t="s">
        <v>149</v>
      </c>
      <c r="D66" s="212" t="s">
        <v>161</v>
      </c>
      <c r="E66" s="209">
        <v>9100020530</v>
      </c>
      <c r="F66" s="216">
        <v>850</v>
      </c>
      <c r="G66" s="213">
        <f>1-0.2</f>
        <v>0.8</v>
      </c>
      <c r="H66" s="213">
        <f>1-0.2</f>
        <v>0.8</v>
      </c>
    </row>
    <row r="67" spans="1:8" s="232" customFormat="1" ht="110.25" hidden="1">
      <c r="A67" s="229" t="s">
        <v>378</v>
      </c>
      <c r="B67" s="230">
        <v>156</v>
      </c>
      <c r="C67" s="231" t="s">
        <v>149</v>
      </c>
      <c r="D67" s="231" t="s">
        <v>161</v>
      </c>
      <c r="E67" s="216">
        <v>9100072140</v>
      </c>
      <c r="F67" s="216"/>
      <c r="G67" s="225">
        <f>G68</f>
        <v>0</v>
      </c>
      <c r="H67" s="225">
        <f>H68</f>
        <v>0</v>
      </c>
    </row>
    <row r="68" spans="1:8" s="232" customFormat="1" ht="15.75" hidden="1">
      <c r="A68" s="215" t="s">
        <v>270</v>
      </c>
      <c r="B68" s="230">
        <v>156</v>
      </c>
      <c r="C68" s="231" t="s">
        <v>149</v>
      </c>
      <c r="D68" s="231" t="s">
        <v>161</v>
      </c>
      <c r="E68" s="216">
        <v>9100072140</v>
      </c>
      <c r="F68" s="216">
        <v>244</v>
      </c>
      <c r="G68" s="225">
        <v>0</v>
      </c>
      <c r="H68" s="225">
        <v>0</v>
      </c>
    </row>
    <row r="69" spans="1:8" s="232" customFormat="1" ht="31.5">
      <c r="A69" s="215" t="s">
        <v>325</v>
      </c>
      <c r="B69" s="230">
        <v>156</v>
      </c>
      <c r="C69" s="231" t="s">
        <v>149</v>
      </c>
      <c r="D69" s="231" t="s">
        <v>161</v>
      </c>
      <c r="E69" s="216">
        <v>9100072310</v>
      </c>
      <c r="F69" s="216"/>
      <c r="G69" s="213">
        <f>G70</f>
        <v>2</v>
      </c>
      <c r="H69" s="213">
        <f>H70</f>
        <v>2</v>
      </c>
    </row>
    <row r="70" spans="1:8" s="232" customFormat="1" ht="48.75" customHeight="1">
      <c r="A70" s="215" t="s">
        <v>369</v>
      </c>
      <c r="B70" s="230">
        <v>156</v>
      </c>
      <c r="C70" s="231" t="s">
        <v>149</v>
      </c>
      <c r="D70" s="231" t="s">
        <v>161</v>
      </c>
      <c r="E70" s="216">
        <v>9100072310</v>
      </c>
      <c r="F70" s="216">
        <v>240</v>
      </c>
      <c r="G70" s="213">
        <v>2</v>
      </c>
      <c r="H70" s="213">
        <v>2</v>
      </c>
    </row>
    <row r="71" spans="1:8" s="232" customFormat="1" ht="78.75">
      <c r="A71" s="215" t="s">
        <v>257</v>
      </c>
      <c r="B71" s="230">
        <v>156</v>
      </c>
      <c r="C71" s="231" t="s">
        <v>149</v>
      </c>
      <c r="D71" s="231" t="s">
        <v>161</v>
      </c>
      <c r="E71" s="216">
        <v>9100090140</v>
      </c>
      <c r="F71" s="216"/>
      <c r="G71" s="213">
        <f>G72</f>
        <v>630.5</v>
      </c>
      <c r="H71" s="213">
        <f>H72</f>
        <v>630.5</v>
      </c>
    </row>
    <row r="72" spans="1:8" s="232" customFormat="1" ht="15.75">
      <c r="A72" s="215" t="s">
        <v>18</v>
      </c>
      <c r="B72" s="230">
        <v>156</v>
      </c>
      <c r="C72" s="231" t="s">
        <v>149</v>
      </c>
      <c r="D72" s="231" t="s">
        <v>161</v>
      </c>
      <c r="E72" s="216">
        <v>9100090140</v>
      </c>
      <c r="F72" s="216">
        <v>540</v>
      </c>
      <c r="G72" s="213">
        <f>593.9+36.6</f>
        <v>630.5</v>
      </c>
      <c r="H72" s="213">
        <f>593.9+36.6</f>
        <v>630.5</v>
      </c>
    </row>
    <row r="73" spans="1:8" ht="96" customHeight="1">
      <c r="A73" s="233" t="s">
        <v>281</v>
      </c>
      <c r="B73" s="206">
        <v>156</v>
      </c>
      <c r="C73" s="217" t="s">
        <v>149</v>
      </c>
      <c r="D73" s="217" t="s">
        <v>161</v>
      </c>
      <c r="E73" s="218">
        <v>9100090190</v>
      </c>
      <c r="F73" s="218"/>
      <c r="G73" s="213">
        <f>G74</f>
        <v>342.9</v>
      </c>
      <c r="H73" s="213">
        <f>H74</f>
        <v>342.9</v>
      </c>
    </row>
    <row r="74" spans="1:8" ht="19.5" customHeight="1">
      <c r="A74" s="211" t="s">
        <v>18</v>
      </c>
      <c r="B74" s="206">
        <v>156</v>
      </c>
      <c r="C74" s="217" t="s">
        <v>149</v>
      </c>
      <c r="D74" s="217" t="s">
        <v>161</v>
      </c>
      <c r="E74" s="218">
        <v>9100090190</v>
      </c>
      <c r="F74" s="218">
        <v>540</v>
      </c>
      <c r="G74" s="213">
        <f>344.2-1.3</f>
        <v>342.9</v>
      </c>
      <c r="H74" s="213">
        <f>344.2-1.3</f>
        <v>342.9</v>
      </c>
    </row>
    <row r="75" spans="1:8" ht="33" customHeight="1">
      <c r="A75" s="215" t="s">
        <v>282</v>
      </c>
      <c r="B75" s="230">
        <v>156</v>
      </c>
      <c r="C75" s="231" t="s">
        <v>149</v>
      </c>
      <c r="D75" s="231" t="s">
        <v>161</v>
      </c>
      <c r="E75" s="216">
        <v>9100090200</v>
      </c>
      <c r="F75" s="216"/>
      <c r="G75" s="213">
        <f>G76</f>
        <v>429.29999999999995</v>
      </c>
      <c r="H75" s="213">
        <f>H76</f>
        <v>429.29999999999995</v>
      </c>
    </row>
    <row r="76" spans="1:8" ht="19.5" customHeight="1">
      <c r="A76" s="215" t="s">
        <v>18</v>
      </c>
      <c r="B76" s="230">
        <v>156</v>
      </c>
      <c r="C76" s="231" t="s">
        <v>149</v>
      </c>
      <c r="D76" s="231" t="s">
        <v>161</v>
      </c>
      <c r="E76" s="216">
        <v>9100090200</v>
      </c>
      <c r="F76" s="216">
        <v>540</v>
      </c>
      <c r="G76" s="213">
        <f>435.4-6.1</f>
        <v>429.29999999999995</v>
      </c>
      <c r="H76" s="213">
        <f>435.4-6.1</f>
        <v>429.29999999999995</v>
      </c>
    </row>
    <row r="77" spans="1:8" ht="65.25" customHeight="1">
      <c r="A77" s="233" t="s">
        <v>283</v>
      </c>
      <c r="B77" s="206">
        <v>156</v>
      </c>
      <c r="C77" s="217" t="s">
        <v>149</v>
      </c>
      <c r="D77" s="217" t="s">
        <v>161</v>
      </c>
      <c r="E77" s="218">
        <v>9100090230</v>
      </c>
      <c r="F77" s="218"/>
      <c r="G77" s="213">
        <f>G78</f>
        <v>1139.8</v>
      </c>
      <c r="H77" s="213">
        <f>H78</f>
        <v>1139.8</v>
      </c>
    </row>
    <row r="78" spans="1:8" ht="15.75">
      <c r="A78" s="211" t="s">
        <v>18</v>
      </c>
      <c r="B78" s="206">
        <v>156</v>
      </c>
      <c r="C78" s="217" t="s">
        <v>149</v>
      </c>
      <c r="D78" s="217" t="s">
        <v>161</v>
      </c>
      <c r="E78" s="218">
        <v>9100090230</v>
      </c>
      <c r="F78" s="218">
        <v>540</v>
      </c>
      <c r="G78" s="213">
        <f>1108.2+31.6</f>
        <v>1139.8</v>
      </c>
      <c r="H78" s="213">
        <f>1108.2+31.6</f>
        <v>1139.8</v>
      </c>
    </row>
    <row r="79" spans="1:8" ht="48" customHeight="1">
      <c r="A79" s="233" t="s">
        <v>217</v>
      </c>
      <c r="B79" s="206">
        <v>156</v>
      </c>
      <c r="C79" s="217" t="s">
        <v>149</v>
      </c>
      <c r="D79" s="217" t="s">
        <v>161</v>
      </c>
      <c r="E79" s="218">
        <v>9100090260</v>
      </c>
      <c r="F79" s="218"/>
      <c r="G79" s="213">
        <f>G80</f>
        <v>0.4</v>
      </c>
      <c r="H79" s="213">
        <f>H80</f>
        <v>0.4</v>
      </c>
    </row>
    <row r="80" spans="1:8" ht="18" customHeight="1">
      <c r="A80" s="211" t="s">
        <v>18</v>
      </c>
      <c r="B80" s="206">
        <v>156</v>
      </c>
      <c r="C80" s="217" t="s">
        <v>149</v>
      </c>
      <c r="D80" s="217" t="s">
        <v>161</v>
      </c>
      <c r="E80" s="218">
        <v>9100090260</v>
      </c>
      <c r="F80" s="218">
        <v>540</v>
      </c>
      <c r="G80" s="213">
        <v>0.4</v>
      </c>
      <c r="H80" s="213">
        <v>0.4</v>
      </c>
    </row>
    <row r="81" spans="1:8" ht="63.75" customHeight="1">
      <c r="A81" s="211" t="s">
        <v>298</v>
      </c>
      <c r="B81" s="206"/>
      <c r="C81" s="217"/>
      <c r="D81" s="217"/>
      <c r="E81" s="218"/>
      <c r="F81" s="218"/>
      <c r="G81" s="213">
        <f>G82</f>
        <v>111.3</v>
      </c>
      <c r="H81" s="213">
        <f>H82</f>
        <v>111.3</v>
      </c>
    </row>
    <row r="82" spans="1:8" ht="18" customHeight="1">
      <c r="A82" s="211" t="s">
        <v>18</v>
      </c>
      <c r="B82" s="206">
        <v>156</v>
      </c>
      <c r="C82" s="217" t="s">
        <v>149</v>
      </c>
      <c r="D82" s="217" t="s">
        <v>161</v>
      </c>
      <c r="E82" s="218">
        <v>9100090280</v>
      </c>
      <c r="F82" s="218">
        <v>540</v>
      </c>
      <c r="G82" s="213">
        <v>111.3</v>
      </c>
      <c r="H82" s="213">
        <v>111.3</v>
      </c>
    </row>
    <row r="83" spans="1:8" ht="24" customHeight="1">
      <c r="A83" s="203" t="s">
        <v>162</v>
      </c>
      <c r="B83" s="206">
        <v>156</v>
      </c>
      <c r="C83" s="208" t="s">
        <v>70</v>
      </c>
      <c r="D83" s="208" t="s">
        <v>66</v>
      </c>
      <c r="E83" s="206"/>
      <c r="F83" s="206"/>
      <c r="G83" s="210">
        <f aca="true" t="shared" si="1" ref="G83:H86">G84</f>
        <v>261.2</v>
      </c>
      <c r="H83" s="210">
        <f t="shared" si="1"/>
        <v>261.2</v>
      </c>
    </row>
    <row r="84" spans="1:8" ht="17.25" customHeight="1">
      <c r="A84" s="211" t="s">
        <v>29</v>
      </c>
      <c r="B84" s="206">
        <v>156</v>
      </c>
      <c r="C84" s="212" t="s">
        <v>70</v>
      </c>
      <c r="D84" s="212" t="s">
        <v>152</v>
      </c>
      <c r="E84" s="209"/>
      <c r="F84" s="216"/>
      <c r="G84" s="213">
        <f t="shared" si="1"/>
        <v>261.2</v>
      </c>
      <c r="H84" s="213">
        <f t="shared" si="1"/>
        <v>261.2</v>
      </c>
    </row>
    <row r="85" spans="1:8" ht="33" customHeight="1" hidden="1">
      <c r="A85" s="211" t="s">
        <v>150</v>
      </c>
      <c r="B85" s="206">
        <v>156</v>
      </c>
      <c r="C85" s="212" t="s">
        <v>70</v>
      </c>
      <c r="D85" s="212" t="s">
        <v>152</v>
      </c>
      <c r="E85" s="209"/>
      <c r="F85" s="216"/>
      <c r="G85" s="213">
        <f t="shared" si="1"/>
        <v>261.2</v>
      </c>
      <c r="H85" s="213">
        <f t="shared" si="1"/>
        <v>261.2</v>
      </c>
    </row>
    <row r="86" spans="1:8" ht="33.75" customHeight="1" hidden="1">
      <c r="A86" s="211" t="s">
        <v>379</v>
      </c>
      <c r="B86" s="206">
        <v>156</v>
      </c>
      <c r="C86" s="212" t="s">
        <v>70</v>
      </c>
      <c r="D86" s="212" t="s">
        <v>152</v>
      </c>
      <c r="E86" s="209"/>
      <c r="F86" s="216"/>
      <c r="G86" s="213">
        <f t="shared" si="1"/>
        <v>261.2</v>
      </c>
      <c r="H86" s="213">
        <f t="shared" si="1"/>
        <v>261.2</v>
      </c>
    </row>
    <row r="87" spans="1:8" ht="49.5" customHeight="1">
      <c r="A87" s="211" t="s">
        <v>380</v>
      </c>
      <c r="B87" s="206">
        <v>156</v>
      </c>
      <c r="C87" s="212" t="s">
        <v>70</v>
      </c>
      <c r="D87" s="212" t="s">
        <v>152</v>
      </c>
      <c r="E87" s="209">
        <v>9100051180</v>
      </c>
      <c r="F87" s="216"/>
      <c r="G87" s="213">
        <f>G88+G89+G90+G91</f>
        <v>261.2</v>
      </c>
      <c r="H87" s="213">
        <f>H88+H89+H90+H91</f>
        <v>261.2</v>
      </c>
    </row>
    <row r="88" spans="1:8" ht="34.5" customHeight="1">
      <c r="A88" s="215" t="s">
        <v>368</v>
      </c>
      <c r="B88" s="206">
        <v>156</v>
      </c>
      <c r="C88" s="212" t="s">
        <v>70</v>
      </c>
      <c r="D88" s="212" t="s">
        <v>152</v>
      </c>
      <c r="E88" s="209">
        <v>9100051180</v>
      </c>
      <c r="F88" s="216">
        <v>120</v>
      </c>
      <c r="G88" s="213">
        <f>200.6+60.6-1.1-0.5-0.7</f>
        <v>258.9</v>
      </c>
      <c r="H88" s="213">
        <f>200.6+60.6-1.1-0.5-0.7</f>
        <v>258.9</v>
      </c>
    </row>
    <row r="89" spans="1:8" ht="23.25" customHeight="1" hidden="1">
      <c r="A89" s="211" t="s">
        <v>156</v>
      </c>
      <c r="B89" s="206">
        <v>156</v>
      </c>
      <c r="C89" s="212" t="s">
        <v>70</v>
      </c>
      <c r="D89" s="212" t="s">
        <v>152</v>
      </c>
      <c r="E89" s="209">
        <v>9100051180</v>
      </c>
      <c r="F89" s="216">
        <v>122</v>
      </c>
      <c r="G89" s="213"/>
      <c r="H89" s="213"/>
    </row>
    <row r="90" spans="1:8" ht="33" customHeight="1" hidden="1">
      <c r="A90" s="211" t="s">
        <v>68</v>
      </c>
      <c r="B90" s="206">
        <v>156</v>
      </c>
      <c r="C90" s="212" t="s">
        <v>70</v>
      </c>
      <c r="D90" s="212" t="s">
        <v>152</v>
      </c>
      <c r="E90" s="209">
        <v>9100051180</v>
      </c>
      <c r="F90" s="234">
        <v>242</v>
      </c>
      <c r="G90" s="225">
        <v>0</v>
      </c>
      <c r="H90" s="225">
        <v>0</v>
      </c>
    </row>
    <row r="91" spans="1:8" ht="51" customHeight="1">
      <c r="A91" s="215" t="s">
        <v>369</v>
      </c>
      <c r="B91" s="206">
        <v>156</v>
      </c>
      <c r="C91" s="212" t="s">
        <v>70</v>
      </c>
      <c r="D91" s="212" t="s">
        <v>152</v>
      </c>
      <c r="E91" s="209">
        <v>9100051180</v>
      </c>
      <c r="F91" s="216">
        <v>240</v>
      </c>
      <c r="G91" s="235">
        <f>1.1+0.5+0.7</f>
        <v>2.3</v>
      </c>
      <c r="H91" s="235">
        <f>1.1+0.5+0.7</f>
        <v>2.3</v>
      </c>
    </row>
    <row r="92" spans="1:12" ht="36.75" customHeight="1">
      <c r="A92" s="203" t="s">
        <v>163</v>
      </c>
      <c r="B92" s="206">
        <v>156</v>
      </c>
      <c r="C92" s="208" t="s">
        <v>152</v>
      </c>
      <c r="D92" s="208" t="s">
        <v>66</v>
      </c>
      <c r="E92" s="206"/>
      <c r="F92" s="230"/>
      <c r="G92" s="210">
        <f>G93+G99</f>
        <v>1816.3</v>
      </c>
      <c r="H92" s="210">
        <f>H93+H99</f>
        <v>1704.3999999999999</v>
      </c>
      <c r="I92" s="199"/>
      <c r="J92" s="199"/>
      <c r="K92" s="199"/>
      <c r="L92" s="199"/>
    </row>
    <row r="93" spans="1:12" ht="46.5" customHeight="1" hidden="1">
      <c r="A93" s="203" t="s">
        <v>164</v>
      </c>
      <c r="B93" s="206">
        <v>156</v>
      </c>
      <c r="C93" s="212" t="s">
        <v>152</v>
      </c>
      <c r="D93" s="212" t="s">
        <v>165</v>
      </c>
      <c r="E93" s="209"/>
      <c r="F93" s="230"/>
      <c r="G93" s="213">
        <f>G94+G97</f>
        <v>0</v>
      </c>
      <c r="H93" s="213">
        <f>H94+H97</f>
        <v>0</v>
      </c>
      <c r="I93" s="199"/>
      <c r="J93" s="199"/>
      <c r="K93" s="199"/>
      <c r="L93" s="199"/>
    </row>
    <row r="94" spans="1:12" ht="19.5" customHeight="1" hidden="1">
      <c r="A94" s="211" t="s">
        <v>375</v>
      </c>
      <c r="B94" s="206">
        <v>156</v>
      </c>
      <c r="C94" s="212" t="s">
        <v>152</v>
      </c>
      <c r="D94" s="212" t="s">
        <v>165</v>
      </c>
      <c r="E94" s="209">
        <v>7050000000</v>
      </c>
      <c r="F94" s="230"/>
      <c r="G94" s="213">
        <f>G95</f>
        <v>0</v>
      </c>
      <c r="H94" s="213">
        <f>H95</f>
        <v>0</v>
      </c>
      <c r="I94" s="199"/>
      <c r="J94" s="199"/>
      <c r="K94" s="199"/>
      <c r="L94" s="199"/>
    </row>
    <row r="95" spans="1:12" ht="18.75" customHeight="1" hidden="1">
      <c r="A95" s="211" t="s">
        <v>270</v>
      </c>
      <c r="B95" s="206">
        <v>156</v>
      </c>
      <c r="C95" s="212" t="s">
        <v>152</v>
      </c>
      <c r="D95" s="212" t="s">
        <v>165</v>
      </c>
      <c r="E95" s="209">
        <v>7050000000</v>
      </c>
      <c r="F95" s="216">
        <v>244</v>
      </c>
      <c r="G95" s="213">
        <v>0</v>
      </c>
      <c r="H95" s="213">
        <v>0</v>
      </c>
      <c r="I95" s="199"/>
      <c r="J95" s="199"/>
      <c r="K95" s="199"/>
      <c r="L95" s="199"/>
    </row>
    <row r="96" spans="1:8" ht="31.5" hidden="1">
      <c r="A96" s="211" t="s">
        <v>381</v>
      </c>
      <c r="B96" s="206">
        <v>156</v>
      </c>
      <c r="C96" s="212" t="s">
        <v>152</v>
      </c>
      <c r="D96" s="212" t="s">
        <v>165</v>
      </c>
      <c r="E96" s="209"/>
      <c r="F96" s="216"/>
      <c r="G96" s="213"/>
      <c r="H96" s="213"/>
    </row>
    <row r="97" spans="1:8" ht="46.5" customHeight="1" hidden="1">
      <c r="A97" s="211" t="s">
        <v>382</v>
      </c>
      <c r="B97" s="206">
        <v>156</v>
      </c>
      <c r="C97" s="212" t="s">
        <v>152</v>
      </c>
      <c r="D97" s="212" t="s">
        <v>165</v>
      </c>
      <c r="E97" s="209">
        <v>9100023040</v>
      </c>
      <c r="F97" s="216"/>
      <c r="G97" s="213">
        <f>G98</f>
        <v>0</v>
      </c>
      <c r="H97" s="213">
        <f>H98</f>
        <v>0</v>
      </c>
    </row>
    <row r="98" spans="1:8" ht="63" customHeight="1" hidden="1">
      <c r="A98" s="211" t="s">
        <v>284</v>
      </c>
      <c r="B98" s="206">
        <v>156</v>
      </c>
      <c r="C98" s="212" t="s">
        <v>152</v>
      </c>
      <c r="D98" s="212" t="s">
        <v>165</v>
      </c>
      <c r="E98" s="209">
        <v>9100023040</v>
      </c>
      <c r="F98" s="216">
        <v>611</v>
      </c>
      <c r="G98" s="213">
        <v>0</v>
      </c>
      <c r="H98" s="213">
        <v>0</v>
      </c>
    </row>
    <row r="99" spans="1:8" ht="49.5" customHeight="1">
      <c r="A99" s="203" t="s">
        <v>383</v>
      </c>
      <c r="B99" s="206">
        <v>156</v>
      </c>
      <c r="C99" s="212" t="s">
        <v>152</v>
      </c>
      <c r="D99" s="212">
        <v>10</v>
      </c>
      <c r="E99" s="209"/>
      <c r="F99" s="216"/>
      <c r="G99" s="213">
        <f>G100</f>
        <v>1816.3</v>
      </c>
      <c r="H99" s="213">
        <f>H100</f>
        <v>1704.3999999999999</v>
      </c>
    </row>
    <row r="100" spans="1:8" ht="80.25" customHeight="1">
      <c r="A100" s="165" t="s">
        <v>445</v>
      </c>
      <c r="B100" s="206">
        <v>156</v>
      </c>
      <c r="C100" s="212" t="s">
        <v>152</v>
      </c>
      <c r="D100" s="212" t="s">
        <v>326</v>
      </c>
      <c r="E100" s="103" t="s">
        <v>327</v>
      </c>
      <c r="F100" s="216"/>
      <c r="G100" s="213">
        <f>G101+G105</f>
        <v>1816.3</v>
      </c>
      <c r="H100" s="213">
        <f>H101+H105</f>
        <v>1704.3999999999999</v>
      </c>
    </row>
    <row r="101" spans="1:8" ht="27.75" customHeight="1">
      <c r="A101" s="168" t="s">
        <v>328</v>
      </c>
      <c r="B101" s="206">
        <v>156</v>
      </c>
      <c r="C101" s="212" t="s">
        <v>152</v>
      </c>
      <c r="D101" s="212" t="s">
        <v>326</v>
      </c>
      <c r="E101" s="105" t="s">
        <v>329</v>
      </c>
      <c r="F101" s="314"/>
      <c r="G101" s="219">
        <f>G102</f>
        <v>60.8</v>
      </c>
      <c r="H101" s="219">
        <f>H102</f>
        <v>60.8</v>
      </c>
    </row>
    <row r="102" spans="1:8" ht="18.75" customHeight="1">
      <c r="A102" s="168" t="s">
        <v>285</v>
      </c>
      <c r="B102" s="206">
        <v>156</v>
      </c>
      <c r="C102" s="212" t="s">
        <v>152</v>
      </c>
      <c r="D102" s="212">
        <v>10</v>
      </c>
      <c r="E102" s="209">
        <v>4900123010</v>
      </c>
      <c r="F102" s="216"/>
      <c r="G102" s="213">
        <f>G103+G104</f>
        <v>60.8</v>
      </c>
      <c r="H102" s="213">
        <f>H103+H104</f>
        <v>60.8</v>
      </c>
    </row>
    <row r="103" spans="1:8" ht="20.25" customHeight="1" hidden="1">
      <c r="A103" s="211" t="s">
        <v>270</v>
      </c>
      <c r="B103" s="206">
        <v>156</v>
      </c>
      <c r="C103" s="212" t="s">
        <v>152</v>
      </c>
      <c r="D103" s="212">
        <v>10</v>
      </c>
      <c r="E103" s="209">
        <v>4900123010</v>
      </c>
      <c r="F103" s="216">
        <v>244</v>
      </c>
      <c r="G103" s="213">
        <v>0</v>
      </c>
      <c r="H103" s="213">
        <v>0</v>
      </c>
    </row>
    <row r="104" spans="1:8" ht="18" customHeight="1">
      <c r="A104" s="236" t="s">
        <v>385</v>
      </c>
      <c r="B104" s="206">
        <v>156</v>
      </c>
      <c r="C104" s="212" t="s">
        <v>152</v>
      </c>
      <c r="D104" s="212">
        <v>10</v>
      </c>
      <c r="E104" s="209">
        <v>4900123010</v>
      </c>
      <c r="F104" s="216">
        <v>610</v>
      </c>
      <c r="G104" s="213">
        <f>100-70+14.5+16.3</f>
        <v>60.8</v>
      </c>
      <c r="H104" s="213">
        <f>100-70+14.5+16.3</f>
        <v>60.8</v>
      </c>
    </row>
    <row r="105" spans="1:8" ht="29.25" customHeight="1">
      <c r="A105" s="168" t="s">
        <v>386</v>
      </c>
      <c r="B105" s="206">
        <v>156</v>
      </c>
      <c r="C105" s="212" t="s">
        <v>152</v>
      </c>
      <c r="D105" s="212" t="s">
        <v>326</v>
      </c>
      <c r="E105" s="105" t="s">
        <v>387</v>
      </c>
      <c r="F105" s="314"/>
      <c r="G105" s="213">
        <f>G106+G108</f>
        <v>1755.5</v>
      </c>
      <c r="H105" s="213">
        <f>H106+H108</f>
        <v>1643.6</v>
      </c>
    </row>
    <row r="106" spans="1:8" ht="20.25" customHeight="1">
      <c r="A106" s="168" t="s">
        <v>285</v>
      </c>
      <c r="B106" s="206">
        <v>156</v>
      </c>
      <c r="C106" s="212" t="s">
        <v>152</v>
      </c>
      <c r="D106" s="212">
        <v>10</v>
      </c>
      <c r="E106" s="209">
        <v>4900223010</v>
      </c>
      <c r="F106" s="216"/>
      <c r="G106" s="213">
        <f>G107</f>
        <v>355.5</v>
      </c>
      <c r="H106" s="213">
        <f>H107</f>
        <v>355.5</v>
      </c>
    </row>
    <row r="107" spans="1:8" ht="45" customHeight="1">
      <c r="A107" s="215" t="s">
        <v>369</v>
      </c>
      <c r="B107" s="206">
        <v>156</v>
      </c>
      <c r="C107" s="212" t="s">
        <v>152</v>
      </c>
      <c r="D107" s="212">
        <v>10</v>
      </c>
      <c r="E107" s="209">
        <v>4900223010</v>
      </c>
      <c r="F107" s="216">
        <v>240</v>
      </c>
      <c r="G107" s="213">
        <f>300+70-14.5</f>
        <v>355.5</v>
      </c>
      <c r="H107" s="213">
        <f>300+70-14.5</f>
        <v>355.5</v>
      </c>
    </row>
    <row r="108" spans="1:8" ht="33.75" customHeight="1">
      <c r="A108" s="211" t="s">
        <v>286</v>
      </c>
      <c r="B108" s="206">
        <v>156</v>
      </c>
      <c r="C108" s="212" t="s">
        <v>152</v>
      </c>
      <c r="D108" s="212">
        <v>10</v>
      </c>
      <c r="E108" s="218" t="s">
        <v>388</v>
      </c>
      <c r="F108" s="216"/>
      <c r="G108" s="213">
        <f>G109</f>
        <v>1400</v>
      </c>
      <c r="H108" s="213">
        <f>H109</f>
        <v>1288.1</v>
      </c>
    </row>
    <row r="109" spans="1:8" ht="45" customHeight="1">
      <c r="A109" s="237" t="s">
        <v>369</v>
      </c>
      <c r="B109" s="206">
        <v>156</v>
      </c>
      <c r="C109" s="212" t="s">
        <v>152</v>
      </c>
      <c r="D109" s="212">
        <v>10</v>
      </c>
      <c r="E109" s="218" t="s">
        <v>388</v>
      </c>
      <c r="F109" s="216">
        <v>240</v>
      </c>
      <c r="G109" s="213">
        <v>1400</v>
      </c>
      <c r="H109" s="213">
        <v>1288.1</v>
      </c>
    </row>
    <row r="110" spans="1:8" ht="19.5" customHeight="1">
      <c r="A110" s="203" t="s">
        <v>166</v>
      </c>
      <c r="B110" s="206">
        <v>156</v>
      </c>
      <c r="C110" s="208" t="s">
        <v>154</v>
      </c>
      <c r="D110" s="208" t="s">
        <v>66</v>
      </c>
      <c r="E110" s="206"/>
      <c r="F110" s="230"/>
      <c r="G110" s="210">
        <f>G111+G137</f>
        <v>24761.1</v>
      </c>
      <c r="H110" s="210">
        <f>H111+H137</f>
        <v>24565.699999999997</v>
      </c>
    </row>
    <row r="111" spans="1:8" ht="16.5" customHeight="1">
      <c r="A111" s="211" t="s">
        <v>25</v>
      </c>
      <c r="B111" s="206">
        <v>156</v>
      </c>
      <c r="C111" s="212" t="s">
        <v>154</v>
      </c>
      <c r="D111" s="212" t="s">
        <v>165</v>
      </c>
      <c r="E111" s="209"/>
      <c r="F111" s="216"/>
      <c r="G111" s="213">
        <f>G112</f>
        <v>24506.1</v>
      </c>
      <c r="H111" s="213">
        <f>H112</f>
        <v>24310.699999999997</v>
      </c>
    </row>
    <row r="112" spans="1:8" ht="78.75">
      <c r="A112" s="165" t="s">
        <v>444</v>
      </c>
      <c r="B112" s="206">
        <v>156</v>
      </c>
      <c r="C112" s="208" t="s">
        <v>154</v>
      </c>
      <c r="D112" s="208" t="s">
        <v>165</v>
      </c>
      <c r="E112" s="238">
        <v>3900000000</v>
      </c>
      <c r="F112" s="230"/>
      <c r="G112" s="210">
        <f>G113+G120+G125+G128+G131+G134</f>
        <v>24506.1</v>
      </c>
      <c r="H112" s="210">
        <f>H113+H120+H125+H128+H131+H134</f>
        <v>24310.699999999997</v>
      </c>
    </row>
    <row r="113" spans="1:8" ht="49.5" customHeight="1">
      <c r="A113" s="168" t="s">
        <v>330</v>
      </c>
      <c r="B113" s="206">
        <v>156</v>
      </c>
      <c r="C113" s="212" t="s">
        <v>154</v>
      </c>
      <c r="D113" s="212" t="s">
        <v>165</v>
      </c>
      <c r="E113" s="218">
        <v>3900100000</v>
      </c>
      <c r="F113" s="216"/>
      <c r="G113" s="213">
        <f>G114+G117</f>
        <v>3415.1</v>
      </c>
      <c r="H113" s="213">
        <f>H114+H117</f>
        <v>3415.1</v>
      </c>
    </row>
    <row r="114" spans="1:8" ht="15.75">
      <c r="A114" s="168" t="s">
        <v>218</v>
      </c>
      <c r="B114" s="206">
        <v>156</v>
      </c>
      <c r="C114" s="212" t="s">
        <v>154</v>
      </c>
      <c r="D114" s="212" t="s">
        <v>165</v>
      </c>
      <c r="E114" s="218">
        <v>3900120300</v>
      </c>
      <c r="F114" s="216"/>
      <c r="G114" s="213">
        <f>G115+G116</f>
        <v>2673</v>
      </c>
      <c r="H114" s="213">
        <f>H115+H116</f>
        <v>2673</v>
      </c>
    </row>
    <row r="115" spans="1:8" ht="47.25">
      <c r="A115" s="215" t="s">
        <v>369</v>
      </c>
      <c r="B115" s="206">
        <v>156</v>
      </c>
      <c r="C115" s="212" t="s">
        <v>154</v>
      </c>
      <c r="D115" s="212" t="s">
        <v>165</v>
      </c>
      <c r="E115" s="218">
        <v>3900120300</v>
      </c>
      <c r="F115" s="216">
        <v>240</v>
      </c>
      <c r="G115" s="213">
        <v>30</v>
      </c>
      <c r="H115" s="213">
        <v>30</v>
      </c>
    </row>
    <row r="116" spans="1:8" ht="15.75">
      <c r="A116" s="215" t="s">
        <v>385</v>
      </c>
      <c r="B116" s="206">
        <v>156</v>
      </c>
      <c r="C116" s="212" t="s">
        <v>154</v>
      </c>
      <c r="D116" s="212" t="s">
        <v>165</v>
      </c>
      <c r="E116" s="218">
        <v>3900120300</v>
      </c>
      <c r="F116" s="216">
        <v>610</v>
      </c>
      <c r="G116" s="239">
        <f>2143+500</f>
        <v>2643</v>
      </c>
      <c r="H116" s="239">
        <f>2143+500</f>
        <v>2643</v>
      </c>
    </row>
    <row r="117" spans="1:8" ht="47.25">
      <c r="A117" s="211" t="s">
        <v>219</v>
      </c>
      <c r="B117" s="206">
        <v>156</v>
      </c>
      <c r="C117" s="212" t="s">
        <v>154</v>
      </c>
      <c r="D117" s="212" t="s">
        <v>165</v>
      </c>
      <c r="E117" s="218" t="s">
        <v>331</v>
      </c>
      <c r="F117" s="216"/>
      <c r="G117" s="239">
        <f>G118+G119</f>
        <v>742.1</v>
      </c>
      <c r="H117" s="239">
        <f>H118+H119</f>
        <v>742.1</v>
      </c>
    </row>
    <row r="118" spans="1:8" ht="47.25">
      <c r="A118" s="215" t="s">
        <v>369</v>
      </c>
      <c r="B118" s="206">
        <v>156</v>
      </c>
      <c r="C118" s="212" t="s">
        <v>154</v>
      </c>
      <c r="D118" s="212" t="s">
        <v>165</v>
      </c>
      <c r="E118" s="218" t="s">
        <v>331</v>
      </c>
      <c r="F118" s="216">
        <v>240</v>
      </c>
      <c r="G118" s="239">
        <f>401.7+180.4</f>
        <v>582.1</v>
      </c>
      <c r="H118" s="239">
        <f>401.7+180.4</f>
        <v>582.1</v>
      </c>
    </row>
    <row r="119" spans="1:8" ht="15.75">
      <c r="A119" s="211" t="s">
        <v>167</v>
      </c>
      <c r="B119" s="206">
        <v>156</v>
      </c>
      <c r="C119" s="212" t="s">
        <v>154</v>
      </c>
      <c r="D119" s="212" t="s">
        <v>165</v>
      </c>
      <c r="E119" s="218" t="s">
        <v>331</v>
      </c>
      <c r="F119" s="216">
        <v>610</v>
      </c>
      <c r="G119" s="239">
        <v>160</v>
      </c>
      <c r="H119" s="239">
        <v>160</v>
      </c>
    </row>
    <row r="120" spans="1:8" ht="32.25" customHeight="1">
      <c r="A120" s="198" t="s">
        <v>332</v>
      </c>
      <c r="B120" s="206">
        <v>156</v>
      </c>
      <c r="C120" s="217" t="s">
        <v>154</v>
      </c>
      <c r="D120" s="217" t="s">
        <v>165</v>
      </c>
      <c r="E120" s="218">
        <v>3900200000</v>
      </c>
      <c r="F120" s="216"/>
      <c r="G120" s="239">
        <f>G121</f>
        <v>900.4000000000001</v>
      </c>
      <c r="H120" s="239">
        <f>H121</f>
        <v>900.4000000000001</v>
      </c>
    </row>
    <row r="121" spans="1:8" ht="83.25" customHeight="1">
      <c r="A121" s="211" t="s">
        <v>220</v>
      </c>
      <c r="B121" s="206">
        <v>156</v>
      </c>
      <c r="C121" s="217" t="s">
        <v>154</v>
      </c>
      <c r="D121" s="217" t="s">
        <v>165</v>
      </c>
      <c r="E121" s="218" t="s">
        <v>287</v>
      </c>
      <c r="F121" s="216"/>
      <c r="G121" s="239">
        <f>G122</f>
        <v>900.4000000000001</v>
      </c>
      <c r="H121" s="239">
        <f>H122</f>
        <v>900.4000000000001</v>
      </c>
    </row>
    <row r="122" spans="1:8" ht="48.75" customHeight="1">
      <c r="A122" s="215" t="s">
        <v>369</v>
      </c>
      <c r="B122" s="206">
        <v>156</v>
      </c>
      <c r="C122" s="217" t="s">
        <v>154</v>
      </c>
      <c r="D122" s="217" t="s">
        <v>165</v>
      </c>
      <c r="E122" s="218" t="s">
        <v>287</v>
      </c>
      <c r="F122" s="216">
        <v>240</v>
      </c>
      <c r="G122" s="239">
        <f>1033.5+200-206.3-126.8</f>
        <v>900.4000000000001</v>
      </c>
      <c r="H122" s="239">
        <f>1033.5+200-206.3-126.8</f>
        <v>900.4000000000001</v>
      </c>
    </row>
    <row r="123" spans="1:8" ht="80.25" customHeight="1" hidden="1">
      <c r="A123" s="211" t="s">
        <v>389</v>
      </c>
      <c r="B123" s="206">
        <v>156</v>
      </c>
      <c r="C123" s="217" t="s">
        <v>154</v>
      </c>
      <c r="D123" s="217" t="s">
        <v>165</v>
      </c>
      <c r="E123" s="218" t="s">
        <v>390</v>
      </c>
      <c r="F123" s="216"/>
      <c r="G123" s="225">
        <v>0</v>
      </c>
      <c r="H123" s="225">
        <v>0</v>
      </c>
    </row>
    <row r="124" spans="1:8" ht="21.75" customHeight="1" hidden="1">
      <c r="A124" s="211" t="s">
        <v>270</v>
      </c>
      <c r="B124" s="206">
        <v>156</v>
      </c>
      <c r="C124" s="217" t="s">
        <v>154</v>
      </c>
      <c r="D124" s="217" t="s">
        <v>165</v>
      </c>
      <c r="E124" s="218">
        <v>3900720300</v>
      </c>
      <c r="F124" s="216">
        <v>244</v>
      </c>
      <c r="G124" s="225"/>
      <c r="H124" s="225"/>
    </row>
    <row r="125" spans="1:8" ht="29.25" customHeight="1" hidden="1">
      <c r="A125" s="168" t="s">
        <v>333</v>
      </c>
      <c r="B125" s="206">
        <v>156</v>
      </c>
      <c r="C125" s="217" t="s">
        <v>154</v>
      </c>
      <c r="D125" s="217" t="s">
        <v>165</v>
      </c>
      <c r="E125" s="218">
        <v>3900400000</v>
      </c>
      <c r="F125" s="216"/>
      <c r="G125" s="225">
        <f>G126</f>
        <v>0</v>
      </c>
      <c r="H125" s="225">
        <f>H126</f>
        <v>0</v>
      </c>
    </row>
    <row r="126" spans="1:8" ht="15.75" hidden="1">
      <c r="A126" s="211" t="s">
        <v>218</v>
      </c>
      <c r="B126" s="206">
        <v>156</v>
      </c>
      <c r="C126" s="212" t="s">
        <v>154</v>
      </c>
      <c r="D126" s="212" t="s">
        <v>165</v>
      </c>
      <c r="E126" s="218">
        <v>3900420300</v>
      </c>
      <c r="F126" s="216"/>
      <c r="G126" s="225">
        <f>G127</f>
        <v>0</v>
      </c>
      <c r="H126" s="225">
        <f>H127</f>
        <v>0</v>
      </c>
    </row>
    <row r="127" spans="1:8" ht="21.75" customHeight="1" hidden="1">
      <c r="A127" s="211" t="s">
        <v>270</v>
      </c>
      <c r="B127" s="206">
        <v>156</v>
      </c>
      <c r="C127" s="212" t="s">
        <v>154</v>
      </c>
      <c r="D127" s="212" t="s">
        <v>165</v>
      </c>
      <c r="E127" s="218">
        <v>3900420300</v>
      </c>
      <c r="F127" s="216">
        <v>244</v>
      </c>
      <c r="G127" s="225">
        <v>0</v>
      </c>
      <c r="H127" s="225">
        <v>0</v>
      </c>
    </row>
    <row r="128" spans="1:8" ht="30" customHeight="1">
      <c r="A128" s="198" t="s">
        <v>334</v>
      </c>
      <c r="B128" s="206">
        <v>156</v>
      </c>
      <c r="C128" s="217" t="s">
        <v>154</v>
      </c>
      <c r="D128" s="217" t="s">
        <v>165</v>
      </c>
      <c r="E128" s="218">
        <v>3900500000</v>
      </c>
      <c r="F128" s="216"/>
      <c r="G128" s="239">
        <f>G129</f>
        <v>18790.199999999997</v>
      </c>
      <c r="H128" s="239">
        <f>H129</f>
        <v>18790.199999999997</v>
      </c>
    </row>
    <row r="129" spans="1:8" ht="45" customHeight="1">
      <c r="A129" s="211" t="s">
        <v>219</v>
      </c>
      <c r="B129" s="206">
        <v>156</v>
      </c>
      <c r="C129" s="217" t="s">
        <v>154</v>
      </c>
      <c r="D129" s="217" t="s">
        <v>165</v>
      </c>
      <c r="E129" s="218" t="s">
        <v>335</v>
      </c>
      <c r="F129" s="216"/>
      <c r="G129" s="213">
        <f>G130</f>
        <v>18790.199999999997</v>
      </c>
      <c r="H129" s="213">
        <f>H130</f>
        <v>18790.199999999997</v>
      </c>
    </row>
    <row r="130" spans="1:8" ht="50.25" customHeight="1">
      <c r="A130" s="215" t="s">
        <v>369</v>
      </c>
      <c r="B130" s="206">
        <v>156</v>
      </c>
      <c r="C130" s="217" t="s">
        <v>154</v>
      </c>
      <c r="D130" s="217" t="s">
        <v>165</v>
      </c>
      <c r="E130" s="218" t="s">
        <v>335</v>
      </c>
      <c r="F130" s="216">
        <v>240</v>
      </c>
      <c r="G130" s="213">
        <f>15128.6+4795.4-953.4-180.4</f>
        <v>18790.199999999997</v>
      </c>
      <c r="H130" s="213">
        <f>15128.6+4795.4-953.4-180.4</f>
        <v>18790.199999999997</v>
      </c>
    </row>
    <row r="131" spans="1:8" ht="45.75" customHeight="1" hidden="1">
      <c r="A131" s="211" t="s">
        <v>336</v>
      </c>
      <c r="B131" s="206">
        <v>156</v>
      </c>
      <c r="C131" s="212" t="s">
        <v>154</v>
      </c>
      <c r="D131" s="212" t="s">
        <v>165</v>
      </c>
      <c r="E131" s="218">
        <v>3900600000</v>
      </c>
      <c r="F131" s="216"/>
      <c r="G131" s="225">
        <f>G132</f>
        <v>0</v>
      </c>
      <c r="H131" s="225">
        <f>H132</f>
        <v>0</v>
      </c>
    </row>
    <row r="132" spans="1:8" ht="18" customHeight="1" hidden="1">
      <c r="A132" s="168" t="s">
        <v>218</v>
      </c>
      <c r="B132" s="206">
        <v>156</v>
      </c>
      <c r="C132" s="212" t="s">
        <v>154</v>
      </c>
      <c r="D132" s="212" t="s">
        <v>165</v>
      </c>
      <c r="E132" s="218">
        <v>3900620300</v>
      </c>
      <c r="F132" s="216"/>
      <c r="G132" s="225">
        <f>G133</f>
        <v>0</v>
      </c>
      <c r="H132" s="225">
        <f>H133</f>
        <v>0</v>
      </c>
    </row>
    <row r="133" spans="1:8" ht="45.75" customHeight="1" hidden="1">
      <c r="A133" s="211" t="s">
        <v>172</v>
      </c>
      <c r="B133" s="206">
        <v>156</v>
      </c>
      <c r="C133" s="212" t="s">
        <v>154</v>
      </c>
      <c r="D133" s="212" t="s">
        <v>165</v>
      </c>
      <c r="E133" s="218">
        <v>3900620300</v>
      </c>
      <c r="F133" s="216">
        <v>244</v>
      </c>
      <c r="G133" s="225">
        <v>0</v>
      </c>
      <c r="H133" s="225">
        <v>0</v>
      </c>
    </row>
    <row r="134" spans="1:8" ht="16.5" customHeight="1">
      <c r="A134" s="198" t="s">
        <v>391</v>
      </c>
      <c r="B134" s="206">
        <v>156</v>
      </c>
      <c r="C134" s="217" t="s">
        <v>154</v>
      </c>
      <c r="D134" s="217" t="s">
        <v>165</v>
      </c>
      <c r="E134" s="218">
        <v>3900700000</v>
      </c>
      <c r="F134" s="216"/>
      <c r="G134" s="213">
        <f>G135</f>
        <v>1400.4</v>
      </c>
      <c r="H134" s="213">
        <f>H135</f>
        <v>1205</v>
      </c>
    </row>
    <row r="135" spans="1:8" ht="17.25" customHeight="1">
      <c r="A135" s="168" t="s">
        <v>218</v>
      </c>
      <c r="B135" s="206">
        <v>156</v>
      </c>
      <c r="C135" s="217" t="s">
        <v>154</v>
      </c>
      <c r="D135" s="217" t="s">
        <v>165</v>
      </c>
      <c r="E135" s="218">
        <v>3900720300</v>
      </c>
      <c r="F135" s="216"/>
      <c r="G135" s="219">
        <f>G136</f>
        <v>1400.4</v>
      </c>
      <c r="H135" s="219">
        <f>H136</f>
        <v>1205</v>
      </c>
    </row>
    <row r="136" spans="1:8" ht="46.5" customHeight="1">
      <c r="A136" s="215" t="s">
        <v>369</v>
      </c>
      <c r="B136" s="206">
        <v>156</v>
      </c>
      <c r="C136" s="217" t="s">
        <v>154</v>
      </c>
      <c r="D136" s="217" t="s">
        <v>165</v>
      </c>
      <c r="E136" s="218">
        <v>3900720300</v>
      </c>
      <c r="F136" s="216">
        <v>240</v>
      </c>
      <c r="G136" s="213">
        <f>75+174.2+1000+182-30.8</f>
        <v>1400.4</v>
      </c>
      <c r="H136" s="213">
        <v>1205</v>
      </c>
    </row>
    <row r="137" spans="1:8" ht="40.5" customHeight="1">
      <c r="A137" s="203" t="s">
        <v>392</v>
      </c>
      <c r="B137" s="206">
        <v>156</v>
      </c>
      <c r="C137" s="321" t="s">
        <v>154</v>
      </c>
      <c r="D137" s="321" t="s">
        <v>393</v>
      </c>
      <c r="E137" s="238"/>
      <c r="F137" s="230"/>
      <c r="G137" s="210">
        <f>G138+G140</f>
        <v>255.00000000000023</v>
      </c>
      <c r="H137" s="210">
        <f>H138+H140</f>
        <v>255.00000000000023</v>
      </c>
    </row>
    <row r="138" spans="1:8" ht="19.5" customHeight="1">
      <c r="A138" s="215" t="s">
        <v>394</v>
      </c>
      <c r="B138" s="230">
        <v>156</v>
      </c>
      <c r="C138" s="231" t="s">
        <v>154</v>
      </c>
      <c r="D138" s="231" t="s">
        <v>393</v>
      </c>
      <c r="E138" s="216">
        <v>9100071780</v>
      </c>
      <c r="F138" s="216"/>
      <c r="G138" s="240">
        <f>G139</f>
        <v>255.00000000000023</v>
      </c>
      <c r="H138" s="240">
        <f>H139</f>
        <v>255.00000000000023</v>
      </c>
    </row>
    <row r="139" spans="1:8" ht="49.5" customHeight="1">
      <c r="A139" s="215" t="s">
        <v>369</v>
      </c>
      <c r="B139" s="230">
        <v>156</v>
      </c>
      <c r="C139" s="231" t="s">
        <v>154</v>
      </c>
      <c r="D139" s="231" t="s">
        <v>393</v>
      </c>
      <c r="E139" s="216">
        <v>9100071780</v>
      </c>
      <c r="F139" s="216">
        <v>240</v>
      </c>
      <c r="G139" s="213">
        <f>1900+58.8+110+150-1963.8-255+255</f>
        <v>255.00000000000023</v>
      </c>
      <c r="H139" s="213">
        <f>1900+58.8+110+150-1963.8-255+255</f>
        <v>255.00000000000023</v>
      </c>
    </row>
    <row r="140" spans="1:8" ht="33" customHeight="1" hidden="1">
      <c r="A140" s="211" t="s">
        <v>286</v>
      </c>
      <c r="B140" s="230">
        <v>156</v>
      </c>
      <c r="C140" s="231" t="s">
        <v>154</v>
      </c>
      <c r="D140" s="231" t="s">
        <v>393</v>
      </c>
      <c r="E140" s="218" t="s">
        <v>221</v>
      </c>
      <c r="F140" s="216"/>
      <c r="G140" s="213">
        <f>G141</f>
        <v>0</v>
      </c>
      <c r="H140" s="213">
        <f>H141</f>
        <v>0</v>
      </c>
    </row>
    <row r="141" spans="1:8" ht="45" customHeight="1" hidden="1">
      <c r="A141" s="237" t="s">
        <v>369</v>
      </c>
      <c r="B141" s="230">
        <v>156</v>
      </c>
      <c r="C141" s="231" t="s">
        <v>154</v>
      </c>
      <c r="D141" s="231" t="s">
        <v>393</v>
      </c>
      <c r="E141" s="218" t="s">
        <v>221</v>
      </c>
      <c r="F141" s="216">
        <v>240</v>
      </c>
      <c r="G141" s="213">
        <f>1000-1000</f>
        <v>0</v>
      </c>
      <c r="H141" s="213">
        <v>0</v>
      </c>
    </row>
    <row r="142" spans="1:8" ht="20.25" customHeight="1">
      <c r="A142" s="203" t="s">
        <v>168</v>
      </c>
      <c r="B142" s="206">
        <v>156</v>
      </c>
      <c r="C142" s="208" t="s">
        <v>169</v>
      </c>
      <c r="D142" s="208" t="s">
        <v>66</v>
      </c>
      <c r="E142" s="203"/>
      <c r="F142" s="258"/>
      <c r="G142" s="210">
        <f>G143+G154+G174+G215</f>
        <v>124061.00000000001</v>
      </c>
      <c r="H142" s="210">
        <f>H143+H154+H174+H215</f>
        <v>120319.00000000001</v>
      </c>
    </row>
    <row r="143" spans="1:8" ht="18" customHeight="1">
      <c r="A143" s="203" t="s">
        <v>22</v>
      </c>
      <c r="B143" s="206">
        <v>156</v>
      </c>
      <c r="C143" s="208" t="s">
        <v>169</v>
      </c>
      <c r="D143" s="208" t="s">
        <v>149</v>
      </c>
      <c r="E143" s="209"/>
      <c r="F143" s="216"/>
      <c r="G143" s="213">
        <f>G144</f>
        <v>793.1</v>
      </c>
      <c r="H143" s="213">
        <f>H144</f>
        <v>793.1</v>
      </c>
    </row>
    <row r="144" spans="1:8" ht="29.25" customHeight="1">
      <c r="A144" s="211" t="s">
        <v>395</v>
      </c>
      <c r="B144" s="206">
        <v>156</v>
      </c>
      <c r="C144" s="212" t="s">
        <v>169</v>
      </c>
      <c r="D144" s="212" t="s">
        <v>149</v>
      </c>
      <c r="E144" s="209">
        <v>9100000000</v>
      </c>
      <c r="F144" s="216"/>
      <c r="G144" s="213">
        <f>G146+G152</f>
        <v>793.1</v>
      </c>
      <c r="H144" s="213">
        <f>H146+H152</f>
        <v>793.1</v>
      </c>
    </row>
    <row r="145" spans="1:8" ht="19.5" customHeight="1" hidden="1">
      <c r="A145" s="211" t="s">
        <v>396</v>
      </c>
      <c r="B145" s="206">
        <v>156</v>
      </c>
      <c r="C145" s="212" t="s">
        <v>169</v>
      </c>
      <c r="D145" s="212" t="s">
        <v>149</v>
      </c>
      <c r="E145" s="209">
        <v>9100020000</v>
      </c>
      <c r="F145" s="216"/>
      <c r="G145" s="213">
        <f>G146+G150+G152</f>
        <v>793.1</v>
      </c>
      <c r="H145" s="213">
        <f>H146+H150+H152</f>
        <v>793.1</v>
      </c>
    </row>
    <row r="146" spans="1:8" ht="31.5">
      <c r="A146" s="211" t="s">
        <v>171</v>
      </c>
      <c r="B146" s="206">
        <v>156</v>
      </c>
      <c r="C146" s="212" t="s">
        <v>169</v>
      </c>
      <c r="D146" s="212" t="s">
        <v>149</v>
      </c>
      <c r="E146" s="209">
        <v>9100021050</v>
      </c>
      <c r="F146" s="216"/>
      <c r="G146" s="213">
        <f>SUM(G147:G149)</f>
        <v>766.5</v>
      </c>
      <c r="H146" s="213">
        <f>SUM(H147:H149)</f>
        <v>766.5</v>
      </c>
    </row>
    <row r="147" spans="1:8" ht="48" customHeight="1" hidden="1">
      <c r="A147" s="211" t="s">
        <v>172</v>
      </c>
      <c r="B147" s="206">
        <v>156</v>
      </c>
      <c r="C147" s="212" t="s">
        <v>169</v>
      </c>
      <c r="D147" s="212" t="s">
        <v>149</v>
      </c>
      <c r="E147" s="209">
        <v>9100021050</v>
      </c>
      <c r="F147" s="216">
        <v>243</v>
      </c>
      <c r="G147" s="225">
        <f>950-900-50</f>
        <v>0</v>
      </c>
      <c r="H147" s="225">
        <f>950-900-50</f>
        <v>0</v>
      </c>
    </row>
    <row r="148" spans="1:8" ht="47.25" customHeight="1">
      <c r="A148" s="215" t="s">
        <v>369</v>
      </c>
      <c r="B148" s="206">
        <v>156</v>
      </c>
      <c r="C148" s="212" t="s">
        <v>169</v>
      </c>
      <c r="D148" s="212" t="s">
        <v>149</v>
      </c>
      <c r="E148" s="209">
        <v>9100021050</v>
      </c>
      <c r="F148" s="216">
        <v>240</v>
      </c>
      <c r="G148" s="213">
        <f>840-171.5-58.8-320.2+550-119-13.5-28.7-0.2-11.1-132-72.4-104.9</f>
        <v>357.69999999999993</v>
      </c>
      <c r="H148" s="213">
        <f>840-171.5-58.8-320.2+550-119-13.5-28.7-0.2-11.1-132-72.4-104.9</f>
        <v>357.69999999999993</v>
      </c>
    </row>
    <row r="149" spans="1:8" ht="18" customHeight="1">
      <c r="A149" s="241" t="s">
        <v>385</v>
      </c>
      <c r="B149" s="206">
        <v>156</v>
      </c>
      <c r="C149" s="212" t="s">
        <v>169</v>
      </c>
      <c r="D149" s="212" t="s">
        <v>149</v>
      </c>
      <c r="E149" s="209">
        <v>9100021050</v>
      </c>
      <c r="F149" s="216">
        <v>610</v>
      </c>
      <c r="G149" s="213">
        <f>400+8.8</f>
        <v>408.8</v>
      </c>
      <c r="H149" s="213">
        <f>400+8.8</f>
        <v>408.8</v>
      </c>
    </row>
    <row r="150" spans="1:8" ht="15.75" hidden="1">
      <c r="A150" s="211" t="s">
        <v>397</v>
      </c>
      <c r="B150" s="206">
        <v>156</v>
      </c>
      <c r="C150" s="212" t="s">
        <v>169</v>
      </c>
      <c r="D150" s="212" t="s">
        <v>149</v>
      </c>
      <c r="E150" s="209">
        <v>9100021060</v>
      </c>
      <c r="F150" s="216"/>
      <c r="G150" s="225">
        <f>G151</f>
        <v>0</v>
      </c>
      <c r="H150" s="225">
        <f>H151</f>
        <v>0</v>
      </c>
    </row>
    <row r="151" spans="1:8" ht="47.25" hidden="1">
      <c r="A151" s="211" t="s">
        <v>172</v>
      </c>
      <c r="B151" s="206">
        <v>156</v>
      </c>
      <c r="C151" s="212" t="s">
        <v>169</v>
      </c>
      <c r="D151" s="212" t="s">
        <v>149</v>
      </c>
      <c r="E151" s="209">
        <v>9100021060</v>
      </c>
      <c r="F151" s="216">
        <v>243</v>
      </c>
      <c r="G151" s="225"/>
      <c r="H151" s="225"/>
    </row>
    <row r="152" spans="1:8" ht="15.75">
      <c r="A152" s="211" t="s">
        <v>170</v>
      </c>
      <c r="B152" s="206">
        <v>156</v>
      </c>
      <c r="C152" s="212" t="s">
        <v>169</v>
      </c>
      <c r="D152" s="212" t="s">
        <v>149</v>
      </c>
      <c r="E152" s="209">
        <v>9100023020</v>
      </c>
      <c r="F152" s="216"/>
      <c r="G152" s="213">
        <f>G153</f>
        <v>26.599999999999998</v>
      </c>
      <c r="H152" s="213">
        <f>H153</f>
        <v>26.599999999999998</v>
      </c>
    </row>
    <row r="153" spans="1:8" ht="48.75" customHeight="1">
      <c r="A153" s="215" t="s">
        <v>369</v>
      </c>
      <c r="B153" s="206">
        <v>156</v>
      </c>
      <c r="C153" s="212" t="s">
        <v>169</v>
      </c>
      <c r="D153" s="212" t="s">
        <v>149</v>
      </c>
      <c r="E153" s="209">
        <v>9100023020</v>
      </c>
      <c r="F153" s="216">
        <v>240</v>
      </c>
      <c r="G153" s="213">
        <f>1-1+1+28.7-3.1</f>
        <v>26.599999999999998</v>
      </c>
      <c r="H153" s="213">
        <f>1-1+1+28.7-3.1</f>
        <v>26.599999999999998</v>
      </c>
    </row>
    <row r="154" spans="1:8" ht="18" customHeight="1">
      <c r="A154" s="203" t="s">
        <v>64</v>
      </c>
      <c r="B154" s="206">
        <v>156</v>
      </c>
      <c r="C154" s="208" t="s">
        <v>169</v>
      </c>
      <c r="D154" s="208" t="s">
        <v>70</v>
      </c>
      <c r="E154" s="206"/>
      <c r="F154" s="230"/>
      <c r="G154" s="210">
        <f>G155+G168+G170+G172</f>
        <v>34258.1</v>
      </c>
      <c r="H154" s="210">
        <f>H155+H168+H170+H172</f>
        <v>31861.7</v>
      </c>
    </row>
    <row r="155" spans="1:8" ht="95.25" customHeight="1">
      <c r="A155" s="242" t="s">
        <v>446</v>
      </c>
      <c r="B155" s="206">
        <v>156</v>
      </c>
      <c r="C155" s="212" t="s">
        <v>169</v>
      </c>
      <c r="D155" s="212" t="s">
        <v>70</v>
      </c>
      <c r="E155" s="218">
        <v>4100000000</v>
      </c>
      <c r="F155" s="216"/>
      <c r="G155" s="213">
        <f>G156+G159+G162</f>
        <v>30492.2</v>
      </c>
      <c r="H155" s="213">
        <f>H156+H159+H162</f>
        <v>29390.8</v>
      </c>
    </row>
    <row r="156" spans="1:8" ht="78.75" customHeight="1">
      <c r="A156" s="168" t="s">
        <v>337</v>
      </c>
      <c r="B156" s="206">
        <v>156</v>
      </c>
      <c r="C156" s="212" t="s">
        <v>169</v>
      </c>
      <c r="D156" s="212" t="s">
        <v>70</v>
      </c>
      <c r="E156" s="218">
        <v>4100400000</v>
      </c>
      <c r="F156" s="216"/>
      <c r="G156" s="213">
        <f>G157</f>
        <v>3351.7000000000003</v>
      </c>
      <c r="H156" s="213">
        <f>H157</f>
        <v>3351.7000000000003</v>
      </c>
    </row>
    <row r="157" spans="1:8" ht="19.5" customHeight="1">
      <c r="A157" s="211" t="s">
        <v>71</v>
      </c>
      <c r="B157" s="206">
        <v>156</v>
      </c>
      <c r="C157" s="212" t="s">
        <v>169</v>
      </c>
      <c r="D157" s="212" t="s">
        <v>70</v>
      </c>
      <c r="E157" s="218">
        <v>4100423090</v>
      </c>
      <c r="F157" s="216"/>
      <c r="G157" s="213">
        <f>G158</f>
        <v>3351.7000000000003</v>
      </c>
      <c r="H157" s="213">
        <f>H158</f>
        <v>3351.7000000000003</v>
      </c>
    </row>
    <row r="158" spans="1:8" ht="65.25" customHeight="1">
      <c r="A158" s="243" t="s">
        <v>398</v>
      </c>
      <c r="B158" s="206">
        <v>156</v>
      </c>
      <c r="C158" s="212" t="s">
        <v>169</v>
      </c>
      <c r="D158" s="212" t="s">
        <v>70</v>
      </c>
      <c r="E158" s="218">
        <v>4100423090</v>
      </c>
      <c r="F158" s="218">
        <v>810</v>
      </c>
      <c r="G158" s="213">
        <f>2400-100+100+900-115.7+167.4</f>
        <v>3351.7000000000003</v>
      </c>
      <c r="H158" s="213">
        <f>2400-100+100+900-115.7+167.4</f>
        <v>3351.7000000000003</v>
      </c>
    </row>
    <row r="159" spans="1:8" ht="28.5" customHeight="1">
      <c r="A159" s="168" t="s">
        <v>399</v>
      </c>
      <c r="B159" s="206">
        <v>156</v>
      </c>
      <c r="C159" s="212" t="s">
        <v>169</v>
      </c>
      <c r="D159" s="212" t="s">
        <v>70</v>
      </c>
      <c r="E159" s="218">
        <v>4100600000</v>
      </c>
      <c r="F159" s="218"/>
      <c r="G159" s="213">
        <f>G160</f>
        <v>280.7999999999997</v>
      </c>
      <c r="H159" s="213">
        <f>H160</f>
        <v>280.7999999999997</v>
      </c>
    </row>
    <row r="160" spans="1:8" ht="21" customHeight="1">
      <c r="A160" s="211" t="s">
        <v>71</v>
      </c>
      <c r="B160" s="206">
        <v>156</v>
      </c>
      <c r="C160" s="212" t="s">
        <v>169</v>
      </c>
      <c r="D160" s="212" t="s">
        <v>70</v>
      </c>
      <c r="E160" s="244">
        <v>4100623090</v>
      </c>
      <c r="F160" s="218"/>
      <c r="G160" s="213">
        <f>G161</f>
        <v>280.7999999999997</v>
      </c>
      <c r="H160" s="213">
        <f>H161</f>
        <v>280.7999999999997</v>
      </c>
    </row>
    <row r="161" spans="1:8" ht="51" customHeight="1">
      <c r="A161" s="215" t="s">
        <v>369</v>
      </c>
      <c r="B161" s="206">
        <v>156</v>
      </c>
      <c r="C161" s="212" t="s">
        <v>169</v>
      </c>
      <c r="D161" s="212" t="s">
        <v>70</v>
      </c>
      <c r="E161" s="244">
        <v>4100623090</v>
      </c>
      <c r="F161" s="244">
        <v>240</v>
      </c>
      <c r="G161" s="245">
        <f>7063.2-2750-485-1360-2187.4</f>
        <v>280.7999999999997</v>
      </c>
      <c r="H161" s="245">
        <f>7063.2-2750-485-1360-2187.4</f>
        <v>280.7999999999997</v>
      </c>
    </row>
    <row r="162" spans="1:8" ht="32.25" customHeight="1">
      <c r="A162" s="242" t="s">
        <v>401</v>
      </c>
      <c r="B162" s="206">
        <v>156</v>
      </c>
      <c r="C162" s="212" t="s">
        <v>169</v>
      </c>
      <c r="D162" s="212" t="s">
        <v>70</v>
      </c>
      <c r="E162" s="218" t="s">
        <v>402</v>
      </c>
      <c r="F162" s="216"/>
      <c r="G162" s="213">
        <f>G163+G166</f>
        <v>26859.7</v>
      </c>
      <c r="H162" s="213">
        <f>H163+H166</f>
        <v>25758.3</v>
      </c>
    </row>
    <row r="163" spans="1:8" ht="33.75" customHeight="1">
      <c r="A163" s="242" t="s">
        <v>403</v>
      </c>
      <c r="B163" s="206">
        <v>156</v>
      </c>
      <c r="C163" s="212" t="s">
        <v>169</v>
      </c>
      <c r="D163" s="212" t="s">
        <v>70</v>
      </c>
      <c r="E163" s="218" t="s">
        <v>404</v>
      </c>
      <c r="F163" s="216"/>
      <c r="G163" s="213">
        <f>G164+G165</f>
        <v>26814.7</v>
      </c>
      <c r="H163" s="213">
        <f>H164+H165</f>
        <v>25713.3</v>
      </c>
    </row>
    <row r="164" spans="1:8" ht="45.75" customHeight="1">
      <c r="A164" s="243" t="s">
        <v>369</v>
      </c>
      <c r="B164" s="206">
        <v>156</v>
      </c>
      <c r="C164" s="212" t="s">
        <v>169</v>
      </c>
      <c r="D164" s="212" t="s">
        <v>70</v>
      </c>
      <c r="E164" s="218" t="s">
        <v>404</v>
      </c>
      <c r="F164" s="216">
        <v>240</v>
      </c>
      <c r="G164" s="213">
        <v>21</v>
      </c>
      <c r="H164" s="213">
        <v>21</v>
      </c>
    </row>
    <row r="165" spans="1:8" ht="18.75" customHeight="1">
      <c r="A165" s="243" t="s">
        <v>400</v>
      </c>
      <c r="B165" s="206">
        <v>156</v>
      </c>
      <c r="C165" s="212" t="s">
        <v>169</v>
      </c>
      <c r="D165" s="212" t="s">
        <v>70</v>
      </c>
      <c r="E165" s="218" t="s">
        <v>404</v>
      </c>
      <c r="F165" s="216">
        <v>410</v>
      </c>
      <c r="G165" s="213">
        <f>41723.5-21-14908.8</f>
        <v>26793.7</v>
      </c>
      <c r="H165" s="213">
        <v>25692.3</v>
      </c>
    </row>
    <row r="166" spans="1:8" ht="33" customHeight="1">
      <c r="A166" s="215" t="s">
        <v>405</v>
      </c>
      <c r="B166" s="230">
        <v>156</v>
      </c>
      <c r="C166" s="231" t="s">
        <v>169</v>
      </c>
      <c r="D166" s="231" t="s">
        <v>70</v>
      </c>
      <c r="E166" s="216">
        <v>4100552430</v>
      </c>
      <c r="F166" s="216"/>
      <c r="G166" s="213">
        <f>G167</f>
        <v>45</v>
      </c>
      <c r="H166" s="213">
        <f>H167</f>
        <v>45</v>
      </c>
    </row>
    <row r="167" spans="1:8" ht="49.5" customHeight="1">
      <c r="A167" s="243" t="s">
        <v>369</v>
      </c>
      <c r="B167" s="206">
        <v>156</v>
      </c>
      <c r="C167" s="212" t="s">
        <v>169</v>
      </c>
      <c r="D167" s="212" t="s">
        <v>70</v>
      </c>
      <c r="E167" s="218">
        <v>4100552430</v>
      </c>
      <c r="F167" s="216">
        <v>240</v>
      </c>
      <c r="G167" s="213">
        <f>100-55</f>
        <v>45</v>
      </c>
      <c r="H167" s="213">
        <f>100-55</f>
        <v>45</v>
      </c>
    </row>
    <row r="168" spans="1:8" ht="31.5" customHeight="1" hidden="1">
      <c r="A168" s="211" t="s">
        <v>286</v>
      </c>
      <c r="B168" s="206">
        <v>156</v>
      </c>
      <c r="C168" s="212" t="s">
        <v>169</v>
      </c>
      <c r="D168" s="212" t="s">
        <v>70</v>
      </c>
      <c r="E168" s="218">
        <v>9100022270</v>
      </c>
      <c r="F168" s="216"/>
      <c r="G168" s="213">
        <f>G169</f>
        <v>0</v>
      </c>
      <c r="H168" s="213">
        <f>H169</f>
        <v>0</v>
      </c>
    </row>
    <row r="169" spans="1:8" ht="49.5" customHeight="1" hidden="1">
      <c r="A169" s="215" t="s">
        <v>369</v>
      </c>
      <c r="B169" s="206">
        <v>156</v>
      </c>
      <c r="C169" s="212" t="s">
        <v>169</v>
      </c>
      <c r="D169" s="212" t="s">
        <v>70</v>
      </c>
      <c r="E169" s="218">
        <v>9100022270</v>
      </c>
      <c r="F169" s="216">
        <v>240</v>
      </c>
      <c r="G169" s="213">
        <f>115.7-115.7</f>
        <v>0</v>
      </c>
      <c r="H169" s="213">
        <f>115.7-115.7</f>
        <v>0</v>
      </c>
    </row>
    <row r="170" spans="1:8" ht="18" customHeight="1">
      <c r="A170" s="211" t="s">
        <v>71</v>
      </c>
      <c r="B170" s="206">
        <v>156</v>
      </c>
      <c r="C170" s="212" t="s">
        <v>169</v>
      </c>
      <c r="D170" s="212" t="s">
        <v>70</v>
      </c>
      <c r="E170" s="209">
        <v>9100023090</v>
      </c>
      <c r="F170" s="216"/>
      <c r="G170" s="213">
        <f>G171</f>
        <v>2470.9</v>
      </c>
      <c r="H170" s="213">
        <f>H171</f>
        <v>2470.9</v>
      </c>
    </row>
    <row r="171" spans="1:8" ht="49.5" customHeight="1">
      <c r="A171" s="243" t="s">
        <v>369</v>
      </c>
      <c r="B171" s="206">
        <v>156</v>
      </c>
      <c r="C171" s="212" t="s">
        <v>169</v>
      </c>
      <c r="D171" s="212" t="s">
        <v>70</v>
      </c>
      <c r="E171" s="218">
        <v>9100023090</v>
      </c>
      <c r="F171" s="216">
        <v>240</v>
      </c>
      <c r="G171" s="213">
        <f>1894+500+267-260+84-14.1</f>
        <v>2470.9</v>
      </c>
      <c r="H171" s="213">
        <f>1894+500+267-260+84-14.1</f>
        <v>2470.9</v>
      </c>
    </row>
    <row r="172" spans="1:8" ht="33" customHeight="1">
      <c r="A172" s="211" t="s">
        <v>286</v>
      </c>
      <c r="B172" s="206">
        <v>156</v>
      </c>
      <c r="C172" s="212" t="s">
        <v>169</v>
      </c>
      <c r="D172" s="212" t="s">
        <v>70</v>
      </c>
      <c r="E172" s="218" t="s">
        <v>221</v>
      </c>
      <c r="F172" s="216"/>
      <c r="G172" s="213">
        <f>G173</f>
        <v>1295</v>
      </c>
      <c r="H172" s="213">
        <f>H173</f>
        <v>0</v>
      </c>
    </row>
    <row r="173" spans="1:8" ht="48" customHeight="1">
      <c r="A173" s="237" t="s">
        <v>369</v>
      </c>
      <c r="B173" s="206">
        <v>156</v>
      </c>
      <c r="C173" s="212" t="s">
        <v>169</v>
      </c>
      <c r="D173" s="212" t="s">
        <v>70</v>
      </c>
      <c r="E173" s="218" t="s">
        <v>221</v>
      </c>
      <c r="F173" s="216">
        <v>240</v>
      </c>
      <c r="G173" s="213">
        <v>1295</v>
      </c>
      <c r="H173" s="213">
        <v>0</v>
      </c>
    </row>
    <row r="174" spans="1:8" ht="18.75" customHeight="1">
      <c r="A174" s="203" t="s">
        <v>21</v>
      </c>
      <c r="B174" s="206">
        <v>156</v>
      </c>
      <c r="C174" s="212" t="s">
        <v>169</v>
      </c>
      <c r="D174" s="212" t="s">
        <v>152</v>
      </c>
      <c r="E174" s="209"/>
      <c r="F174" s="216"/>
      <c r="G174" s="210">
        <f>G175+G196+G198+G202+G204+G207+G209+G211+G213</f>
        <v>81624.50000000001</v>
      </c>
      <c r="H174" s="210">
        <f>H175+H196+H198+H202+H204+H207+H209+H211+H213</f>
        <v>80278.90000000001</v>
      </c>
    </row>
    <row r="175" spans="1:8" ht="62.25" customHeight="1">
      <c r="A175" s="246" t="s">
        <v>471</v>
      </c>
      <c r="B175" s="206">
        <v>156</v>
      </c>
      <c r="C175" s="212" t="s">
        <v>169</v>
      </c>
      <c r="D175" s="212" t="s">
        <v>152</v>
      </c>
      <c r="E175" s="218">
        <v>2500000000</v>
      </c>
      <c r="F175" s="216"/>
      <c r="G175" s="213">
        <f>G176+G183+G188+G191</f>
        <v>68815.40000000001</v>
      </c>
      <c r="H175" s="213">
        <f>H176+H183+H188+H191</f>
        <v>67712.70000000001</v>
      </c>
    </row>
    <row r="176" spans="1:8" ht="48" customHeight="1">
      <c r="A176" s="247" t="s">
        <v>406</v>
      </c>
      <c r="B176" s="248">
        <v>156</v>
      </c>
      <c r="C176" s="212" t="s">
        <v>169</v>
      </c>
      <c r="D176" s="212" t="s">
        <v>152</v>
      </c>
      <c r="E176" s="218" t="s">
        <v>288</v>
      </c>
      <c r="F176" s="216"/>
      <c r="G176" s="213">
        <f>G177+G179+G181</f>
        <v>56476</v>
      </c>
      <c r="H176" s="213">
        <f>H177+H179+H181</f>
        <v>55373.3</v>
      </c>
    </row>
    <row r="177" spans="1:8" ht="66" customHeight="1">
      <c r="A177" s="249" t="s">
        <v>407</v>
      </c>
      <c r="B177" s="206">
        <v>156</v>
      </c>
      <c r="C177" s="212" t="s">
        <v>169</v>
      </c>
      <c r="D177" s="212" t="s">
        <v>152</v>
      </c>
      <c r="E177" s="218" t="s">
        <v>408</v>
      </c>
      <c r="F177" s="216"/>
      <c r="G177" s="213">
        <f>G178</f>
        <v>50000</v>
      </c>
      <c r="H177" s="213">
        <f>H178</f>
        <v>50000</v>
      </c>
    </row>
    <row r="178" spans="1:8" ht="45" customHeight="1">
      <c r="A178" s="215" t="s">
        <v>369</v>
      </c>
      <c r="B178" s="206">
        <v>156</v>
      </c>
      <c r="C178" s="212" t="s">
        <v>169</v>
      </c>
      <c r="D178" s="212" t="s">
        <v>152</v>
      </c>
      <c r="E178" s="218" t="s">
        <v>408</v>
      </c>
      <c r="F178" s="216">
        <v>240</v>
      </c>
      <c r="G178" s="213">
        <f>50000+8960.6-8960.6</f>
        <v>50000</v>
      </c>
      <c r="H178" s="213">
        <f>50000+8960.6-8960.6</f>
        <v>50000</v>
      </c>
    </row>
    <row r="179" spans="1:8" ht="36" customHeight="1">
      <c r="A179" s="250" t="s">
        <v>206</v>
      </c>
      <c r="B179" s="206">
        <v>156</v>
      </c>
      <c r="C179" s="212" t="s">
        <v>169</v>
      </c>
      <c r="D179" s="212" t="s">
        <v>152</v>
      </c>
      <c r="E179" s="218" t="s">
        <v>289</v>
      </c>
      <c r="F179" s="216"/>
      <c r="G179" s="213">
        <f>G180</f>
        <v>5364.9</v>
      </c>
      <c r="H179" s="213">
        <f>H180</f>
        <v>5364.9</v>
      </c>
    </row>
    <row r="180" spans="1:8" ht="47.25" customHeight="1">
      <c r="A180" s="215" t="s">
        <v>369</v>
      </c>
      <c r="B180" s="206">
        <v>156</v>
      </c>
      <c r="C180" s="212" t="s">
        <v>169</v>
      </c>
      <c r="D180" s="212" t="s">
        <v>152</v>
      </c>
      <c r="E180" s="218" t="s">
        <v>289</v>
      </c>
      <c r="F180" s="216">
        <v>240</v>
      </c>
      <c r="G180" s="213">
        <f>5364.9+34.2+1500-1534.2</f>
        <v>5364.9</v>
      </c>
      <c r="H180" s="213">
        <f>5364.9+34.2+1500-1534.2</f>
        <v>5364.9</v>
      </c>
    </row>
    <row r="181" spans="1:8" ht="30" customHeight="1">
      <c r="A181" s="215" t="s">
        <v>409</v>
      </c>
      <c r="B181" s="206">
        <v>156</v>
      </c>
      <c r="C181" s="212" t="s">
        <v>169</v>
      </c>
      <c r="D181" s="212" t="s">
        <v>152</v>
      </c>
      <c r="E181" s="218" t="s">
        <v>410</v>
      </c>
      <c r="F181" s="216"/>
      <c r="G181" s="213">
        <f>G182</f>
        <v>1111.1</v>
      </c>
      <c r="H181" s="213">
        <f>H182</f>
        <v>8.4</v>
      </c>
    </row>
    <row r="182" spans="1:8" ht="47.25" customHeight="1">
      <c r="A182" s="215" t="s">
        <v>369</v>
      </c>
      <c r="B182" s="206">
        <v>156</v>
      </c>
      <c r="C182" s="212" t="s">
        <v>169</v>
      </c>
      <c r="D182" s="212" t="s">
        <v>152</v>
      </c>
      <c r="E182" s="218" t="s">
        <v>410</v>
      </c>
      <c r="F182" s="216">
        <v>240</v>
      </c>
      <c r="G182" s="213">
        <v>1111.1</v>
      </c>
      <c r="H182" s="213">
        <v>8.4</v>
      </c>
    </row>
    <row r="183" spans="1:8" ht="36.75" customHeight="1">
      <c r="A183" s="211" t="s">
        <v>411</v>
      </c>
      <c r="B183" s="206">
        <v>156</v>
      </c>
      <c r="C183" s="212" t="s">
        <v>169</v>
      </c>
      <c r="D183" s="212" t="s">
        <v>152</v>
      </c>
      <c r="E183" s="218">
        <v>2500400000</v>
      </c>
      <c r="F183" s="216"/>
      <c r="G183" s="213">
        <f>G184+G186</f>
        <v>2106.9</v>
      </c>
      <c r="H183" s="213">
        <f>H184+H186</f>
        <v>2106.9</v>
      </c>
    </row>
    <row r="184" spans="1:8" ht="36.75" customHeight="1">
      <c r="A184" s="211" t="s">
        <v>271</v>
      </c>
      <c r="B184" s="206">
        <v>156</v>
      </c>
      <c r="C184" s="212" t="s">
        <v>169</v>
      </c>
      <c r="D184" s="212" t="s">
        <v>152</v>
      </c>
      <c r="E184" s="218">
        <v>2500400190</v>
      </c>
      <c r="F184" s="216"/>
      <c r="G184" s="213">
        <f>G185</f>
        <v>42</v>
      </c>
      <c r="H184" s="213">
        <f>H185</f>
        <v>42</v>
      </c>
    </row>
    <row r="185" spans="1:8" ht="48" customHeight="1">
      <c r="A185" s="215" t="s">
        <v>369</v>
      </c>
      <c r="B185" s="206">
        <v>156</v>
      </c>
      <c r="C185" s="212" t="s">
        <v>169</v>
      </c>
      <c r="D185" s="212" t="s">
        <v>152</v>
      </c>
      <c r="E185" s="218">
        <v>2500400190</v>
      </c>
      <c r="F185" s="216">
        <v>240</v>
      </c>
      <c r="G185" s="213">
        <f>100-58</f>
        <v>42</v>
      </c>
      <c r="H185" s="213">
        <f>100-58</f>
        <v>42</v>
      </c>
    </row>
    <row r="186" spans="1:8" ht="48" customHeight="1">
      <c r="A186" s="251" t="s">
        <v>412</v>
      </c>
      <c r="B186" s="206">
        <v>156</v>
      </c>
      <c r="C186" s="212" t="s">
        <v>169</v>
      </c>
      <c r="D186" s="212" t="s">
        <v>152</v>
      </c>
      <c r="E186" s="218">
        <v>2500425551</v>
      </c>
      <c r="F186" s="216"/>
      <c r="G186" s="213">
        <f>G187</f>
        <v>2064.9</v>
      </c>
      <c r="H186" s="213">
        <f>H187</f>
        <v>2064.9</v>
      </c>
    </row>
    <row r="187" spans="1:8" ht="48" customHeight="1">
      <c r="A187" s="215" t="s">
        <v>369</v>
      </c>
      <c r="B187" s="206">
        <v>156</v>
      </c>
      <c r="C187" s="212" t="s">
        <v>169</v>
      </c>
      <c r="D187" s="212" t="s">
        <v>152</v>
      </c>
      <c r="E187" s="218">
        <v>2500425551</v>
      </c>
      <c r="F187" s="216">
        <v>240</v>
      </c>
      <c r="G187" s="213">
        <f>1534.2+485+65.8-20.1</f>
        <v>2064.9</v>
      </c>
      <c r="H187" s="213">
        <f>1534.2+485+65.8-20.1</f>
        <v>2064.9</v>
      </c>
    </row>
    <row r="188" spans="1:8" ht="33.75" customHeight="1">
      <c r="A188" s="198" t="s">
        <v>413</v>
      </c>
      <c r="B188" s="206">
        <v>156</v>
      </c>
      <c r="C188" s="208" t="s">
        <v>169</v>
      </c>
      <c r="D188" s="208" t="s">
        <v>152</v>
      </c>
      <c r="E188" s="218">
        <v>2500700000</v>
      </c>
      <c r="F188" s="216"/>
      <c r="G188" s="213">
        <f>G189</f>
        <v>7886.400000000001</v>
      </c>
      <c r="H188" s="213">
        <f>H189</f>
        <v>7886.400000000001</v>
      </c>
    </row>
    <row r="189" spans="1:8" ht="18.75" customHeight="1">
      <c r="A189" s="211" t="s">
        <v>290</v>
      </c>
      <c r="B189" s="206">
        <v>156</v>
      </c>
      <c r="C189" s="208" t="s">
        <v>169</v>
      </c>
      <c r="D189" s="208" t="s">
        <v>152</v>
      </c>
      <c r="E189" s="218">
        <v>2500723050</v>
      </c>
      <c r="F189" s="216"/>
      <c r="G189" s="213">
        <f>G190</f>
        <v>7886.400000000001</v>
      </c>
      <c r="H189" s="213">
        <f>H190</f>
        <v>7886.400000000001</v>
      </c>
    </row>
    <row r="190" spans="1:8" ht="45.75" customHeight="1">
      <c r="A190" s="215" t="s">
        <v>369</v>
      </c>
      <c r="B190" s="206">
        <v>156</v>
      </c>
      <c r="C190" s="212" t="s">
        <v>169</v>
      </c>
      <c r="D190" s="212" t="s">
        <v>152</v>
      </c>
      <c r="E190" s="218">
        <v>2500723050</v>
      </c>
      <c r="F190" s="216">
        <v>240</v>
      </c>
      <c r="G190" s="213">
        <f>1150+7810.6+360-1434.2</f>
        <v>7886.400000000001</v>
      </c>
      <c r="H190" s="213">
        <f>1150+7810.6+360-1434.2</f>
        <v>7886.400000000001</v>
      </c>
    </row>
    <row r="191" spans="1:8" ht="34.5" customHeight="1">
      <c r="A191" s="211" t="s">
        <v>414</v>
      </c>
      <c r="B191" s="206">
        <v>156</v>
      </c>
      <c r="C191" s="212" t="s">
        <v>169</v>
      </c>
      <c r="D191" s="212" t="s">
        <v>152</v>
      </c>
      <c r="E191" s="218">
        <v>2500800000</v>
      </c>
      <c r="F191" s="216"/>
      <c r="G191" s="213">
        <f>G192+G194</f>
        <v>2346.1</v>
      </c>
      <c r="H191" s="213">
        <f>H192+H194</f>
        <v>2346.1</v>
      </c>
    </row>
    <row r="192" spans="1:8" ht="32.25" customHeight="1">
      <c r="A192" s="198" t="s">
        <v>415</v>
      </c>
      <c r="B192" s="206">
        <v>156</v>
      </c>
      <c r="C192" s="212" t="s">
        <v>169</v>
      </c>
      <c r="D192" s="212" t="s">
        <v>152</v>
      </c>
      <c r="E192" s="218">
        <v>2500821780</v>
      </c>
      <c r="F192" s="216"/>
      <c r="G192" s="213">
        <f>G193</f>
        <v>387.29999999999995</v>
      </c>
      <c r="H192" s="213">
        <f>H193</f>
        <v>387.29999999999995</v>
      </c>
    </row>
    <row r="193" spans="1:8" ht="48.75" customHeight="1">
      <c r="A193" s="215" t="s">
        <v>369</v>
      </c>
      <c r="B193" s="206">
        <v>156</v>
      </c>
      <c r="C193" s="212" t="s">
        <v>169</v>
      </c>
      <c r="D193" s="212" t="s">
        <v>152</v>
      </c>
      <c r="E193" s="218">
        <v>2500821780</v>
      </c>
      <c r="F193" s="216">
        <v>240</v>
      </c>
      <c r="G193" s="213">
        <f>692.3-255-50</f>
        <v>387.29999999999995</v>
      </c>
      <c r="H193" s="213">
        <f>692.3-255-50</f>
        <v>387.29999999999995</v>
      </c>
    </row>
    <row r="194" spans="1:8" ht="22.5" customHeight="1">
      <c r="A194" s="198" t="s">
        <v>416</v>
      </c>
      <c r="B194" s="206">
        <v>156</v>
      </c>
      <c r="C194" s="212" t="s">
        <v>169</v>
      </c>
      <c r="D194" s="212" t="s">
        <v>152</v>
      </c>
      <c r="E194" s="218" t="s">
        <v>417</v>
      </c>
      <c r="F194" s="216"/>
      <c r="G194" s="213">
        <f>G195</f>
        <v>1958.8</v>
      </c>
      <c r="H194" s="213">
        <f>H195</f>
        <v>1958.8</v>
      </c>
    </row>
    <row r="195" spans="1:8" ht="33.75" customHeight="1">
      <c r="A195" s="215" t="s">
        <v>369</v>
      </c>
      <c r="B195" s="206">
        <v>156</v>
      </c>
      <c r="C195" s="212" t="s">
        <v>169</v>
      </c>
      <c r="D195" s="212" t="s">
        <v>152</v>
      </c>
      <c r="E195" s="218" t="s">
        <v>417</v>
      </c>
      <c r="F195" s="216">
        <v>240</v>
      </c>
      <c r="G195" s="213">
        <v>1958.8</v>
      </c>
      <c r="H195" s="213">
        <v>1958.8</v>
      </c>
    </row>
    <row r="196" spans="1:8" ht="33.75" customHeight="1">
      <c r="A196" s="211" t="s">
        <v>286</v>
      </c>
      <c r="B196" s="206">
        <v>156</v>
      </c>
      <c r="C196" s="212" t="s">
        <v>169</v>
      </c>
      <c r="D196" s="212" t="s">
        <v>152</v>
      </c>
      <c r="E196" s="218">
        <v>9100022270</v>
      </c>
      <c r="F196" s="216"/>
      <c r="G196" s="213">
        <f>G197</f>
        <v>271.5</v>
      </c>
      <c r="H196" s="213">
        <f>H197</f>
        <v>271.5</v>
      </c>
    </row>
    <row r="197" spans="1:8" ht="47.25" customHeight="1">
      <c r="A197" s="215" t="s">
        <v>369</v>
      </c>
      <c r="B197" s="206">
        <v>156</v>
      </c>
      <c r="C197" s="212" t="s">
        <v>169</v>
      </c>
      <c r="D197" s="212" t="s">
        <v>152</v>
      </c>
      <c r="E197" s="218">
        <v>9100022270</v>
      </c>
      <c r="F197" s="216">
        <v>240</v>
      </c>
      <c r="G197" s="213">
        <f>145.4+115+11.1</f>
        <v>271.5</v>
      </c>
      <c r="H197" s="213">
        <f>145.4+115+11.1</f>
        <v>271.5</v>
      </c>
    </row>
    <row r="198" spans="1:8" ht="15.75">
      <c r="A198" s="252" t="s">
        <v>170</v>
      </c>
      <c r="B198" s="206">
        <v>156</v>
      </c>
      <c r="C198" s="212" t="s">
        <v>169</v>
      </c>
      <c r="D198" s="212" t="s">
        <v>152</v>
      </c>
      <c r="E198" s="209">
        <v>9100023020</v>
      </c>
      <c r="F198" s="216"/>
      <c r="G198" s="213">
        <f>G199+G200+G201</f>
        <v>283.8</v>
      </c>
      <c r="H198" s="213">
        <f>H199+H200+H201</f>
        <v>283.8</v>
      </c>
    </row>
    <row r="199" spans="1:8" ht="47.25" customHeight="1">
      <c r="A199" s="215" t="s">
        <v>369</v>
      </c>
      <c r="B199" s="206">
        <v>156</v>
      </c>
      <c r="C199" s="212" t="s">
        <v>169</v>
      </c>
      <c r="D199" s="212" t="s">
        <v>152</v>
      </c>
      <c r="E199" s="209">
        <v>9100023020</v>
      </c>
      <c r="F199" s="216">
        <v>240</v>
      </c>
      <c r="G199" s="213">
        <f>118.6+24+119-0.3</f>
        <v>261.3</v>
      </c>
      <c r="H199" s="213">
        <f>118.6+24+119-0.3</f>
        <v>261.3</v>
      </c>
    </row>
    <row r="200" spans="1:8" ht="21" customHeight="1" hidden="1">
      <c r="A200" s="211" t="s">
        <v>280</v>
      </c>
      <c r="B200" s="206">
        <v>156</v>
      </c>
      <c r="C200" s="212" t="s">
        <v>169</v>
      </c>
      <c r="D200" s="212" t="s">
        <v>152</v>
      </c>
      <c r="E200" s="209">
        <v>9100023020</v>
      </c>
      <c r="F200" s="216">
        <v>831</v>
      </c>
      <c r="G200" s="213">
        <v>0</v>
      </c>
      <c r="H200" s="213">
        <v>0</v>
      </c>
    </row>
    <row r="201" spans="1:8" ht="20.25" customHeight="1">
      <c r="A201" s="215" t="s">
        <v>371</v>
      </c>
      <c r="B201" s="206">
        <v>156</v>
      </c>
      <c r="C201" s="212" t="s">
        <v>169</v>
      </c>
      <c r="D201" s="212" t="s">
        <v>152</v>
      </c>
      <c r="E201" s="209">
        <v>9100023020</v>
      </c>
      <c r="F201" s="216">
        <v>850</v>
      </c>
      <c r="G201" s="213">
        <f>10+16+5.6-9.1</f>
        <v>22.5</v>
      </c>
      <c r="H201" s="213">
        <f>10+16+5.6-9.1</f>
        <v>22.5</v>
      </c>
    </row>
    <row r="202" spans="1:8" ht="15.75" hidden="1">
      <c r="A202" s="252" t="s">
        <v>170</v>
      </c>
      <c r="B202" s="206">
        <v>156</v>
      </c>
      <c r="C202" s="212" t="s">
        <v>169</v>
      </c>
      <c r="D202" s="212" t="s">
        <v>152</v>
      </c>
      <c r="E202" s="209">
        <v>9100071090</v>
      </c>
      <c r="F202" s="216"/>
      <c r="G202" s="225">
        <f>G203</f>
        <v>0</v>
      </c>
      <c r="H202" s="225">
        <f>H203</f>
        <v>0</v>
      </c>
    </row>
    <row r="203" spans="1:8" ht="18" customHeight="1" hidden="1">
      <c r="A203" s="211" t="s">
        <v>167</v>
      </c>
      <c r="B203" s="206">
        <v>156</v>
      </c>
      <c r="C203" s="212" t="s">
        <v>169</v>
      </c>
      <c r="D203" s="212" t="s">
        <v>152</v>
      </c>
      <c r="E203" s="209">
        <v>9100071090</v>
      </c>
      <c r="F203" s="216">
        <v>612</v>
      </c>
      <c r="G203" s="225">
        <v>0</v>
      </c>
      <c r="H203" s="225">
        <v>0</v>
      </c>
    </row>
    <row r="204" spans="1:8" ht="20.25" customHeight="1">
      <c r="A204" s="211" t="s">
        <v>290</v>
      </c>
      <c r="B204" s="206">
        <v>156</v>
      </c>
      <c r="C204" s="212" t="s">
        <v>169</v>
      </c>
      <c r="D204" s="212" t="s">
        <v>152</v>
      </c>
      <c r="E204" s="209">
        <v>9100023050</v>
      </c>
      <c r="F204" s="216"/>
      <c r="G204" s="213">
        <f>SUM(G205:G206)</f>
        <v>274.9</v>
      </c>
      <c r="H204" s="213">
        <f>SUM(H205:H206)</f>
        <v>274.9</v>
      </c>
    </row>
    <row r="205" spans="1:8" s="253" customFormat="1" ht="46.5" customHeight="1">
      <c r="A205" s="215" t="s">
        <v>369</v>
      </c>
      <c r="B205" s="206">
        <v>156</v>
      </c>
      <c r="C205" s="212" t="s">
        <v>169</v>
      </c>
      <c r="D205" s="212" t="s">
        <v>152</v>
      </c>
      <c r="E205" s="209">
        <v>9100023050</v>
      </c>
      <c r="F205" s="216">
        <v>240</v>
      </c>
      <c r="G205" s="213">
        <v>200</v>
      </c>
      <c r="H205" s="213">
        <v>200</v>
      </c>
    </row>
    <row r="206" spans="1:8" ht="17.25" customHeight="1">
      <c r="A206" s="241" t="s">
        <v>385</v>
      </c>
      <c r="B206" s="206">
        <v>156</v>
      </c>
      <c r="C206" s="212" t="s">
        <v>169</v>
      </c>
      <c r="D206" s="212" t="s">
        <v>152</v>
      </c>
      <c r="E206" s="209">
        <v>9100023050</v>
      </c>
      <c r="F206" s="216">
        <v>610</v>
      </c>
      <c r="G206" s="213">
        <f>100-8.8-16.3</f>
        <v>74.9</v>
      </c>
      <c r="H206" s="213">
        <f>100-8.8-16.3</f>
        <v>74.9</v>
      </c>
    </row>
    <row r="207" spans="1:8" ht="17.25" customHeight="1">
      <c r="A207" s="254" t="s">
        <v>291</v>
      </c>
      <c r="B207" s="206">
        <v>156</v>
      </c>
      <c r="C207" s="212" t="s">
        <v>169</v>
      </c>
      <c r="D207" s="212" t="s">
        <v>152</v>
      </c>
      <c r="E207" s="218" t="s">
        <v>292</v>
      </c>
      <c r="F207" s="216"/>
      <c r="G207" s="213">
        <f>G208</f>
        <v>7854.299999999999</v>
      </c>
      <c r="H207" s="213">
        <f>H208</f>
        <v>7854.299999999999</v>
      </c>
    </row>
    <row r="208" spans="1:8" ht="17.25" customHeight="1">
      <c r="A208" s="237" t="s">
        <v>369</v>
      </c>
      <c r="B208" s="206">
        <v>156</v>
      </c>
      <c r="C208" s="212" t="s">
        <v>169</v>
      </c>
      <c r="D208" s="212" t="s">
        <v>152</v>
      </c>
      <c r="E208" s="218" t="s">
        <v>292</v>
      </c>
      <c r="F208" s="216">
        <v>240</v>
      </c>
      <c r="G208" s="213">
        <f>5600+1866.7-6866.7+6866.7+96.7+0.2+290.7</f>
        <v>7854.299999999999</v>
      </c>
      <c r="H208" s="213">
        <f>5600+1866.7-6866.7+6866.7+96.7+0.2+290.7</f>
        <v>7854.299999999999</v>
      </c>
    </row>
    <row r="209" spans="1:8" ht="20.25" customHeight="1" hidden="1">
      <c r="A209" s="237" t="s">
        <v>416</v>
      </c>
      <c r="B209" s="230">
        <v>156</v>
      </c>
      <c r="C209" s="231" t="s">
        <v>169</v>
      </c>
      <c r="D209" s="231" t="s">
        <v>152</v>
      </c>
      <c r="E209" s="216" t="s">
        <v>418</v>
      </c>
      <c r="F209" s="216"/>
      <c r="G209" s="213">
        <f>G210</f>
        <v>0</v>
      </c>
      <c r="H209" s="213">
        <f>H210</f>
        <v>0</v>
      </c>
    </row>
    <row r="210" spans="1:8" ht="48.75" customHeight="1" hidden="1">
      <c r="A210" s="215" t="s">
        <v>369</v>
      </c>
      <c r="B210" s="230">
        <v>156</v>
      </c>
      <c r="C210" s="231" t="s">
        <v>169</v>
      </c>
      <c r="D210" s="231" t="s">
        <v>152</v>
      </c>
      <c r="E210" s="216" t="s">
        <v>418</v>
      </c>
      <c r="F210" s="216">
        <v>240</v>
      </c>
      <c r="G210" s="213">
        <f>1958.8-1958.8</f>
        <v>0</v>
      </c>
      <c r="H210" s="213">
        <f>1958.8-1958.8</f>
        <v>0</v>
      </c>
    </row>
    <row r="211" spans="1:8" ht="33.75" customHeight="1">
      <c r="A211" s="211" t="s">
        <v>286</v>
      </c>
      <c r="B211" s="206">
        <v>156</v>
      </c>
      <c r="C211" s="212" t="s">
        <v>169</v>
      </c>
      <c r="D211" s="212" t="s">
        <v>152</v>
      </c>
      <c r="E211" s="218" t="s">
        <v>221</v>
      </c>
      <c r="F211" s="216"/>
      <c r="G211" s="213">
        <f>G212</f>
        <v>4124.6</v>
      </c>
      <c r="H211" s="213">
        <f>H212</f>
        <v>3881.7</v>
      </c>
    </row>
    <row r="212" spans="1:8" ht="45" customHeight="1">
      <c r="A212" s="237" t="s">
        <v>369</v>
      </c>
      <c r="B212" s="206">
        <v>156</v>
      </c>
      <c r="C212" s="212" t="s">
        <v>169</v>
      </c>
      <c r="D212" s="212" t="s">
        <v>152</v>
      </c>
      <c r="E212" s="218" t="s">
        <v>221</v>
      </c>
      <c r="F212" s="216">
        <v>240</v>
      </c>
      <c r="G212" s="213">
        <f>949+428.4+1067.6+1589-128-59.5-79.5+3493-4095+1000+105-145.4</f>
        <v>4124.6</v>
      </c>
      <c r="H212" s="213">
        <v>3881.7</v>
      </c>
    </row>
    <row r="213" spans="1:8" ht="19.5" customHeight="1" hidden="1">
      <c r="A213" s="254" t="s">
        <v>419</v>
      </c>
      <c r="B213" s="206">
        <v>156</v>
      </c>
      <c r="C213" s="212" t="s">
        <v>169</v>
      </c>
      <c r="D213" s="212" t="s">
        <v>152</v>
      </c>
      <c r="E213" s="218" t="s">
        <v>420</v>
      </c>
      <c r="F213" s="216"/>
      <c r="G213" s="225">
        <f>G214</f>
        <v>0</v>
      </c>
      <c r="H213" s="213">
        <f>H214</f>
        <v>0</v>
      </c>
    </row>
    <row r="214" spans="1:8" ht="19.5" customHeight="1" hidden="1">
      <c r="A214" s="254" t="s">
        <v>270</v>
      </c>
      <c r="B214" s="206">
        <v>156</v>
      </c>
      <c r="C214" s="212" t="s">
        <v>169</v>
      </c>
      <c r="D214" s="212" t="s">
        <v>152</v>
      </c>
      <c r="E214" s="218" t="s">
        <v>420</v>
      </c>
      <c r="F214" s="216">
        <v>244</v>
      </c>
      <c r="G214" s="225">
        <v>0</v>
      </c>
      <c r="H214" s="223">
        <v>0</v>
      </c>
    </row>
    <row r="215" spans="1:8" ht="30.75" customHeight="1">
      <c r="A215" s="203" t="s">
        <v>107</v>
      </c>
      <c r="B215" s="206">
        <v>156</v>
      </c>
      <c r="C215" s="208" t="s">
        <v>169</v>
      </c>
      <c r="D215" s="208" t="s">
        <v>169</v>
      </c>
      <c r="E215" s="209"/>
      <c r="F215" s="216"/>
      <c r="G215" s="210">
        <f>G216+G219</f>
        <v>7385.3</v>
      </c>
      <c r="H215" s="210">
        <f>H216+H219</f>
        <v>7385.3</v>
      </c>
    </row>
    <row r="216" spans="1:8" ht="21" customHeight="1">
      <c r="A216" s="211" t="s">
        <v>290</v>
      </c>
      <c r="B216" s="206">
        <v>156</v>
      </c>
      <c r="C216" s="212" t="s">
        <v>169</v>
      </c>
      <c r="D216" s="212" t="s">
        <v>169</v>
      </c>
      <c r="E216" s="209">
        <v>9100023050</v>
      </c>
      <c r="F216" s="216"/>
      <c r="G216" s="213">
        <f>G217+G218</f>
        <v>7385.3</v>
      </c>
      <c r="H216" s="213">
        <f>H217+H218</f>
        <v>7385.3</v>
      </c>
    </row>
    <row r="217" spans="1:8" ht="21" customHeight="1" hidden="1">
      <c r="A217" s="211" t="s">
        <v>270</v>
      </c>
      <c r="B217" s="206">
        <v>156</v>
      </c>
      <c r="C217" s="212" t="s">
        <v>169</v>
      </c>
      <c r="D217" s="212" t="s">
        <v>169</v>
      </c>
      <c r="E217" s="209">
        <v>9100023050</v>
      </c>
      <c r="F217" s="216">
        <v>244</v>
      </c>
      <c r="G217" s="213">
        <v>0</v>
      </c>
      <c r="H217" s="213">
        <v>0</v>
      </c>
    </row>
    <row r="218" spans="1:8" ht="16.5" customHeight="1">
      <c r="A218" s="215" t="s">
        <v>385</v>
      </c>
      <c r="B218" s="206">
        <v>156</v>
      </c>
      <c r="C218" s="212" t="s">
        <v>169</v>
      </c>
      <c r="D218" s="212" t="s">
        <v>169</v>
      </c>
      <c r="E218" s="209">
        <v>9100023050</v>
      </c>
      <c r="F218" s="216">
        <v>610</v>
      </c>
      <c r="G218" s="213">
        <f>5450+400+135.3+1000+400</f>
        <v>7385.3</v>
      </c>
      <c r="H218" s="213">
        <f>5450+400+135.3+1000+400</f>
        <v>7385.3</v>
      </c>
    </row>
    <row r="219" spans="1:8" ht="47.25" hidden="1">
      <c r="A219" s="211" t="s">
        <v>421</v>
      </c>
      <c r="B219" s="206">
        <v>156</v>
      </c>
      <c r="C219" s="212" t="s">
        <v>169</v>
      </c>
      <c r="D219" s="212" t="s">
        <v>169</v>
      </c>
      <c r="E219" s="209">
        <v>9100024010</v>
      </c>
      <c r="F219" s="216"/>
      <c r="G219" s="213">
        <f>G220</f>
        <v>0</v>
      </c>
      <c r="H219" s="213">
        <f>H220</f>
        <v>0</v>
      </c>
    </row>
    <row r="220" spans="1:8" ht="45.75" customHeight="1" hidden="1">
      <c r="A220" s="211" t="s">
        <v>366</v>
      </c>
      <c r="B220" s="206">
        <v>156</v>
      </c>
      <c r="C220" s="212" t="s">
        <v>169</v>
      </c>
      <c r="D220" s="212" t="s">
        <v>169</v>
      </c>
      <c r="E220" s="209">
        <v>9100024010</v>
      </c>
      <c r="F220" s="216">
        <v>360</v>
      </c>
      <c r="G220" s="213">
        <v>0</v>
      </c>
      <c r="H220" s="213">
        <v>0</v>
      </c>
    </row>
    <row r="221" spans="1:8" ht="15.75">
      <c r="A221" s="203" t="s">
        <v>173</v>
      </c>
      <c r="B221" s="206">
        <v>156</v>
      </c>
      <c r="C221" s="208" t="s">
        <v>24</v>
      </c>
      <c r="D221" s="208" t="s">
        <v>66</v>
      </c>
      <c r="E221" s="206"/>
      <c r="F221" s="206"/>
      <c r="G221" s="210">
        <f aca="true" t="shared" si="2" ref="G221:H223">G222</f>
        <v>25.2</v>
      </c>
      <c r="H221" s="210">
        <f t="shared" si="2"/>
        <v>25.2</v>
      </c>
    </row>
    <row r="222" spans="1:8" ht="15.75">
      <c r="A222" s="255" t="s">
        <v>293</v>
      </c>
      <c r="B222" s="206">
        <v>156</v>
      </c>
      <c r="C222" s="212" t="s">
        <v>24</v>
      </c>
      <c r="D222" s="212" t="s">
        <v>24</v>
      </c>
      <c r="E222" s="206"/>
      <c r="F222" s="206"/>
      <c r="G222" s="210">
        <f t="shared" si="2"/>
        <v>25.2</v>
      </c>
      <c r="H222" s="210">
        <f t="shared" si="2"/>
        <v>25.2</v>
      </c>
    </row>
    <row r="223" spans="1:8" ht="48.75" customHeight="1">
      <c r="A223" s="211" t="s">
        <v>294</v>
      </c>
      <c r="B223" s="206">
        <v>156</v>
      </c>
      <c r="C223" s="212" t="s">
        <v>24</v>
      </c>
      <c r="D223" s="212" t="s">
        <v>24</v>
      </c>
      <c r="E223" s="209">
        <v>9100090170</v>
      </c>
      <c r="F223" s="209"/>
      <c r="G223" s="213">
        <f t="shared" si="2"/>
        <v>25.2</v>
      </c>
      <c r="H223" s="213">
        <f t="shared" si="2"/>
        <v>25.2</v>
      </c>
    </row>
    <row r="224" spans="1:8" ht="21.75" customHeight="1">
      <c r="A224" s="211" t="s">
        <v>18</v>
      </c>
      <c r="B224" s="206">
        <v>156</v>
      </c>
      <c r="C224" s="212" t="s">
        <v>24</v>
      </c>
      <c r="D224" s="212" t="s">
        <v>24</v>
      </c>
      <c r="E224" s="209">
        <v>9100090170</v>
      </c>
      <c r="F224" s="209">
        <v>540</v>
      </c>
      <c r="G224" s="213">
        <v>25.2</v>
      </c>
      <c r="H224" s="213">
        <v>25.2</v>
      </c>
    </row>
    <row r="225" spans="1:8" ht="19.5" customHeight="1">
      <c r="A225" s="203" t="s">
        <v>422</v>
      </c>
      <c r="B225" s="206">
        <v>156</v>
      </c>
      <c r="C225" s="208" t="s">
        <v>423</v>
      </c>
      <c r="D225" s="208" t="s">
        <v>66</v>
      </c>
      <c r="E225" s="206"/>
      <c r="F225" s="206"/>
      <c r="G225" s="210">
        <f>G226</f>
        <v>400</v>
      </c>
      <c r="H225" s="210">
        <f>H226</f>
        <v>400</v>
      </c>
    </row>
    <row r="226" spans="1:8" ht="34.5" customHeight="1">
      <c r="A226" s="203" t="s">
        <v>424</v>
      </c>
      <c r="B226" s="206">
        <v>156</v>
      </c>
      <c r="C226" s="208" t="s">
        <v>423</v>
      </c>
      <c r="D226" s="208" t="s">
        <v>154</v>
      </c>
      <c r="E226" s="206"/>
      <c r="F226" s="206"/>
      <c r="G226" s="210">
        <f>G228</f>
        <v>400</v>
      </c>
      <c r="H226" s="210">
        <f>H228</f>
        <v>400</v>
      </c>
    </row>
    <row r="227" spans="1:8" ht="30.75" customHeight="1">
      <c r="A227" s="211" t="s">
        <v>286</v>
      </c>
      <c r="B227" s="209">
        <v>156</v>
      </c>
      <c r="C227" s="212" t="s">
        <v>423</v>
      </c>
      <c r="D227" s="212" t="s">
        <v>154</v>
      </c>
      <c r="E227" s="218" t="s">
        <v>221</v>
      </c>
      <c r="F227" s="216"/>
      <c r="G227" s="213">
        <f>G228</f>
        <v>400</v>
      </c>
      <c r="H227" s="213">
        <f>H228</f>
        <v>400</v>
      </c>
    </row>
    <row r="228" spans="1:8" ht="43.5" customHeight="1">
      <c r="A228" s="237" t="s">
        <v>369</v>
      </c>
      <c r="B228" s="209">
        <v>156</v>
      </c>
      <c r="C228" s="212" t="s">
        <v>423</v>
      </c>
      <c r="D228" s="212" t="s">
        <v>154</v>
      </c>
      <c r="E228" s="218" t="s">
        <v>221</v>
      </c>
      <c r="F228" s="256">
        <v>240</v>
      </c>
      <c r="G228" s="257">
        <v>400</v>
      </c>
      <c r="H228" s="257">
        <v>400</v>
      </c>
    </row>
    <row r="229" spans="1:8" ht="21" customHeight="1">
      <c r="A229" s="203" t="s">
        <v>174</v>
      </c>
      <c r="B229" s="206">
        <v>156</v>
      </c>
      <c r="C229" s="208">
        <v>10</v>
      </c>
      <c r="D229" s="208" t="s">
        <v>66</v>
      </c>
      <c r="E229" s="209"/>
      <c r="F229" s="216"/>
      <c r="G229" s="213">
        <f>G230+G233+G236</f>
        <v>770.7</v>
      </c>
      <c r="H229" s="213">
        <f>H230+H233+H236</f>
        <v>770.7</v>
      </c>
    </row>
    <row r="230" spans="1:8" ht="15.75">
      <c r="A230" s="203" t="s">
        <v>16</v>
      </c>
      <c r="B230" s="206">
        <v>156</v>
      </c>
      <c r="C230" s="208">
        <v>10</v>
      </c>
      <c r="D230" s="208" t="s">
        <v>149</v>
      </c>
      <c r="E230" s="209"/>
      <c r="F230" s="216"/>
      <c r="G230" s="213">
        <f>G231</f>
        <v>319.7</v>
      </c>
      <c r="H230" s="213">
        <f>H231</f>
        <v>319.7</v>
      </c>
    </row>
    <row r="231" spans="1:8" ht="15.75" customHeight="1">
      <c r="A231" s="211" t="s">
        <v>175</v>
      </c>
      <c r="B231" s="206">
        <v>156</v>
      </c>
      <c r="C231" s="212">
        <v>10</v>
      </c>
      <c r="D231" s="212" t="s">
        <v>149</v>
      </c>
      <c r="E231" s="209">
        <v>9100083010</v>
      </c>
      <c r="F231" s="216"/>
      <c r="G231" s="213">
        <f>G232</f>
        <v>319.7</v>
      </c>
      <c r="H231" s="213">
        <f>H232</f>
        <v>319.7</v>
      </c>
    </row>
    <row r="232" spans="1:8" ht="34.5" customHeight="1">
      <c r="A232" s="215" t="s">
        <v>370</v>
      </c>
      <c r="B232" s="206">
        <v>156</v>
      </c>
      <c r="C232" s="212">
        <v>10</v>
      </c>
      <c r="D232" s="212" t="s">
        <v>149</v>
      </c>
      <c r="E232" s="209">
        <v>9100083010</v>
      </c>
      <c r="F232" s="216">
        <v>320</v>
      </c>
      <c r="G232" s="213">
        <f>320-0.3</f>
        <v>319.7</v>
      </c>
      <c r="H232" s="213">
        <f>320-0.3</f>
        <v>319.7</v>
      </c>
    </row>
    <row r="233" spans="1:8" ht="20.25" customHeight="1">
      <c r="A233" s="258" t="s">
        <v>72</v>
      </c>
      <c r="B233" s="206">
        <v>156</v>
      </c>
      <c r="C233" s="212">
        <v>10</v>
      </c>
      <c r="D233" s="212" t="s">
        <v>152</v>
      </c>
      <c r="E233" s="209"/>
      <c r="F233" s="216"/>
      <c r="G233" s="213">
        <f>G234</f>
        <v>1</v>
      </c>
      <c r="H233" s="213">
        <f>H234</f>
        <v>1</v>
      </c>
    </row>
    <row r="234" spans="1:8" ht="18.75" customHeight="1">
      <c r="A234" s="144" t="s">
        <v>295</v>
      </c>
      <c r="B234" s="206">
        <v>156</v>
      </c>
      <c r="C234" s="212">
        <v>10</v>
      </c>
      <c r="D234" s="212" t="s">
        <v>152</v>
      </c>
      <c r="E234" s="209">
        <v>9100083040</v>
      </c>
      <c r="F234" s="216"/>
      <c r="G234" s="213">
        <f>G235</f>
        <v>1</v>
      </c>
      <c r="H234" s="213">
        <f>H235</f>
        <v>1</v>
      </c>
    </row>
    <row r="235" spans="1:8" ht="19.5" customHeight="1">
      <c r="A235" s="215" t="s">
        <v>425</v>
      </c>
      <c r="B235" s="206">
        <v>156</v>
      </c>
      <c r="C235" s="212">
        <v>10</v>
      </c>
      <c r="D235" s="212" t="s">
        <v>152</v>
      </c>
      <c r="E235" s="209">
        <v>9100083040</v>
      </c>
      <c r="F235" s="216">
        <v>360</v>
      </c>
      <c r="G235" s="213">
        <v>1</v>
      </c>
      <c r="H235" s="213">
        <v>1</v>
      </c>
    </row>
    <row r="236" spans="1:8" ht="15.75" customHeight="1">
      <c r="A236" s="258" t="s">
        <v>426</v>
      </c>
      <c r="B236" s="206">
        <v>156</v>
      </c>
      <c r="C236" s="208">
        <v>10</v>
      </c>
      <c r="D236" s="208" t="s">
        <v>160</v>
      </c>
      <c r="E236" s="209"/>
      <c r="F236" s="216"/>
      <c r="G236" s="213">
        <f>G239+G237</f>
        <v>450</v>
      </c>
      <c r="H236" s="213">
        <f>H239+H237</f>
        <v>450</v>
      </c>
    </row>
    <row r="237" spans="1:8" ht="16.5" customHeight="1" hidden="1">
      <c r="A237" s="259" t="s">
        <v>375</v>
      </c>
      <c r="B237" s="206">
        <v>156</v>
      </c>
      <c r="C237" s="212" t="s">
        <v>326</v>
      </c>
      <c r="D237" s="212" t="s">
        <v>152</v>
      </c>
      <c r="E237" s="209">
        <v>7050000000</v>
      </c>
      <c r="F237" s="216"/>
      <c r="G237" s="213">
        <f>G238</f>
        <v>0</v>
      </c>
      <c r="H237" s="213">
        <f>H238</f>
        <v>0</v>
      </c>
    </row>
    <row r="238" spans="1:8" ht="47.25" hidden="1">
      <c r="A238" s="259" t="s">
        <v>157</v>
      </c>
      <c r="B238" s="206">
        <v>156</v>
      </c>
      <c r="C238" s="212" t="s">
        <v>326</v>
      </c>
      <c r="D238" s="212" t="s">
        <v>152</v>
      </c>
      <c r="E238" s="209">
        <v>7050000000</v>
      </c>
      <c r="F238" s="216">
        <v>321</v>
      </c>
      <c r="G238" s="213"/>
      <c r="H238" s="213"/>
    </row>
    <row r="239" spans="1:8" ht="61.5" customHeight="1">
      <c r="A239" s="215" t="s">
        <v>427</v>
      </c>
      <c r="B239" s="206">
        <v>156</v>
      </c>
      <c r="C239" s="212">
        <v>10</v>
      </c>
      <c r="D239" s="212" t="s">
        <v>160</v>
      </c>
      <c r="E239" s="216" t="s">
        <v>428</v>
      </c>
      <c r="F239" s="216"/>
      <c r="G239" s="213">
        <f>G240</f>
        <v>450</v>
      </c>
      <c r="H239" s="213">
        <f>H240</f>
        <v>450</v>
      </c>
    </row>
    <row r="240" spans="1:8" ht="44.25" customHeight="1">
      <c r="A240" s="237" t="s">
        <v>369</v>
      </c>
      <c r="B240" s="206">
        <v>156</v>
      </c>
      <c r="C240" s="212">
        <v>10</v>
      </c>
      <c r="D240" s="212" t="s">
        <v>160</v>
      </c>
      <c r="E240" s="216" t="s">
        <v>428</v>
      </c>
      <c r="F240" s="216">
        <v>240</v>
      </c>
      <c r="G240" s="213">
        <v>450</v>
      </c>
      <c r="H240" s="213">
        <v>450</v>
      </c>
    </row>
    <row r="241" spans="1:8" ht="19.5" customHeight="1" hidden="1">
      <c r="A241" s="203" t="s">
        <v>429</v>
      </c>
      <c r="B241" s="206">
        <v>156</v>
      </c>
      <c r="C241" s="208">
        <v>11</v>
      </c>
      <c r="D241" s="208" t="s">
        <v>66</v>
      </c>
      <c r="E241" s="206"/>
      <c r="F241" s="312"/>
      <c r="G241" s="313">
        <f aca="true" t="shared" si="3" ref="G241:H243">G242</f>
        <v>0</v>
      </c>
      <c r="H241" s="313">
        <f t="shared" si="3"/>
        <v>0</v>
      </c>
    </row>
    <row r="242" spans="1:8" ht="15.75" hidden="1">
      <c r="A242" s="211" t="s">
        <v>14</v>
      </c>
      <c r="B242" s="206">
        <v>156</v>
      </c>
      <c r="C242" s="212">
        <v>11</v>
      </c>
      <c r="D242" s="212" t="s">
        <v>149</v>
      </c>
      <c r="E242" s="209">
        <v>9100000000</v>
      </c>
      <c r="F242" s="234"/>
      <c r="G242" s="225">
        <f t="shared" si="3"/>
        <v>0</v>
      </c>
      <c r="H242" s="225">
        <f t="shared" si="3"/>
        <v>0</v>
      </c>
    </row>
    <row r="243" spans="1:8" ht="78.75" hidden="1">
      <c r="A243" s="211" t="s">
        <v>430</v>
      </c>
      <c r="B243" s="206">
        <v>156</v>
      </c>
      <c r="C243" s="212">
        <v>11</v>
      </c>
      <c r="D243" s="212" t="s">
        <v>149</v>
      </c>
      <c r="E243" s="209">
        <v>9100090180</v>
      </c>
      <c r="F243" s="234"/>
      <c r="G243" s="225">
        <f t="shared" si="3"/>
        <v>0</v>
      </c>
      <c r="H243" s="225">
        <f t="shared" si="3"/>
        <v>0</v>
      </c>
    </row>
    <row r="244" spans="1:8" ht="79.5" customHeight="1" hidden="1">
      <c r="A244" s="211" t="s">
        <v>431</v>
      </c>
      <c r="B244" s="206">
        <v>156</v>
      </c>
      <c r="C244" s="212" t="s">
        <v>432</v>
      </c>
      <c r="D244" s="212" t="s">
        <v>149</v>
      </c>
      <c r="E244" s="209">
        <v>9100090180</v>
      </c>
      <c r="F244" s="234">
        <v>540</v>
      </c>
      <c r="G244" s="225"/>
      <c r="H244" s="225"/>
    </row>
    <row r="245" spans="1:8" ht="15.75">
      <c r="A245" s="203" t="s">
        <v>176</v>
      </c>
      <c r="B245" s="206">
        <v>156</v>
      </c>
      <c r="C245" s="208">
        <v>12</v>
      </c>
      <c r="D245" s="208" t="s">
        <v>66</v>
      </c>
      <c r="E245" s="206"/>
      <c r="F245" s="230"/>
      <c r="G245" s="210">
        <f aca="true" t="shared" si="4" ref="G245:H247">G246</f>
        <v>97.6</v>
      </c>
      <c r="H245" s="210">
        <f t="shared" si="4"/>
        <v>97.6</v>
      </c>
    </row>
    <row r="246" spans="1:8" ht="15.75">
      <c r="A246" s="211" t="s">
        <v>109</v>
      </c>
      <c r="B246" s="206">
        <v>156</v>
      </c>
      <c r="C246" s="208">
        <v>12</v>
      </c>
      <c r="D246" s="208" t="s">
        <v>70</v>
      </c>
      <c r="E246" s="209"/>
      <c r="F246" s="216"/>
      <c r="G246" s="213">
        <f t="shared" si="4"/>
        <v>97.6</v>
      </c>
      <c r="H246" s="213">
        <f t="shared" si="4"/>
        <v>97.6</v>
      </c>
    </row>
    <row r="247" spans="1:8" ht="20.25" customHeight="1">
      <c r="A247" s="211" t="s">
        <v>339</v>
      </c>
      <c r="B247" s="206">
        <v>156</v>
      </c>
      <c r="C247" s="212">
        <v>12</v>
      </c>
      <c r="D247" s="212" t="s">
        <v>70</v>
      </c>
      <c r="E247" s="209">
        <v>9100086010</v>
      </c>
      <c r="F247" s="216"/>
      <c r="G247" s="213">
        <f t="shared" si="4"/>
        <v>97.6</v>
      </c>
      <c r="H247" s="213">
        <f t="shared" si="4"/>
        <v>97.6</v>
      </c>
    </row>
    <row r="248" spans="1:8" ht="48" customHeight="1">
      <c r="A248" s="215" t="s">
        <v>369</v>
      </c>
      <c r="B248" s="206">
        <v>156</v>
      </c>
      <c r="C248" s="212">
        <v>12</v>
      </c>
      <c r="D248" s="212" t="s">
        <v>70</v>
      </c>
      <c r="E248" s="209">
        <v>9100086010</v>
      </c>
      <c r="F248" s="216">
        <v>240</v>
      </c>
      <c r="G248" s="213">
        <f>190-86-6.4</f>
        <v>97.6</v>
      </c>
      <c r="H248" s="213">
        <f>190-86-6.4</f>
        <v>97.6</v>
      </c>
    </row>
    <row r="249" spans="1:8" ht="36.75" customHeight="1" hidden="1">
      <c r="A249" s="203" t="s">
        <v>177</v>
      </c>
      <c r="B249" s="206">
        <v>156</v>
      </c>
      <c r="C249" s="208">
        <v>13</v>
      </c>
      <c r="D249" s="208" t="s">
        <v>66</v>
      </c>
      <c r="E249" s="206"/>
      <c r="F249" s="230"/>
      <c r="G249" s="313">
        <f aca="true" t="shared" si="5" ref="G249:H251">G250</f>
        <v>0</v>
      </c>
      <c r="H249" s="210">
        <f t="shared" si="5"/>
        <v>0</v>
      </c>
    </row>
    <row r="250" spans="1:8" ht="28.5" customHeight="1" hidden="1">
      <c r="A250" s="228" t="s">
        <v>296</v>
      </c>
      <c r="B250" s="206">
        <v>156</v>
      </c>
      <c r="C250" s="208" t="s">
        <v>161</v>
      </c>
      <c r="D250" s="208" t="s">
        <v>149</v>
      </c>
      <c r="E250" s="206"/>
      <c r="F250" s="230"/>
      <c r="G250" s="313">
        <f t="shared" si="5"/>
        <v>0</v>
      </c>
      <c r="H250" s="210">
        <f t="shared" si="5"/>
        <v>0</v>
      </c>
    </row>
    <row r="251" spans="1:8" ht="31.5" hidden="1">
      <c r="A251" s="211" t="s">
        <v>178</v>
      </c>
      <c r="B251" s="206">
        <v>156</v>
      </c>
      <c r="C251" s="212">
        <v>13</v>
      </c>
      <c r="D251" s="212" t="s">
        <v>149</v>
      </c>
      <c r="E251" s="209">
        <v>9100020990</v>
      </c>
      <c r="F251" s="216"/>
      <c r="G251" s="225">
        <f t="shared" si="5"/>
        <v>0</v>
      </c>
      <c r="H251" s="213">
        <f t="shared" si="5"/>
        <v>0</v>
      </c>
    </row>
    <row r="252" spans="1:8" ht="15.75" hidden="1">
      <c r="A252" s="211" t="s">
        <v>297</v>
      </c>
      <c r="B252" s="206">
        <v>156</v>
      </c>
      <c r="C252" s="212">
        <v>13</v>
      </c>
      <c r="D252" s="212" t="s">
        <v>149</v>
      </c>
      <c r="E252" s="209">
        <v>9100020990</v>
      </c>
      <c r="F252" s="216">
        <v>730</v>
      </c>
      <c r="G252" s="225">
        <v>0</v>
      </c>
      <c r="H252" s="219">
        <v>0</v>
      </c>
    </row>
    <row r="253" spans="1:8" ht="15.75">
      <c r="A253" s="203" t="s">
        <v>13</v>
      </c>
      <c r="B253" s="206"/>
      <c r="C253" s="212"/>
      <c r="D253" s="212"/>
      <c r="E253" s="209"/>
      <c r="F253" s="216"/>
      <c r="G253" s="210">
        <f>G249+G245+G241+G229+G221+G174+G154+G143+G110+G99+G93+G83+G15+G215+G225</f>
        <v>164879.80000000002</v>
      </c>
      <c r="H253" s="210">
        <f>H249+H245+H241+H229+H221+H174+H154+H143+H110+H99+H93+H83+H15+H215+H225</f>
        <v>160620.90000000002</v>
      </c>
    </row>
    <row r="254" spans="1:8" ht="15">
      <c r="A254" s="145"/>
      <c r="B254" s="145"/>
      <c r="C254" s="145"/>
      <c r="D254" s="145"/>
      <c r="E254" s="145"/>
      <c r="F254" s="145"/>
      <c r="G254" s="145"/>
      <c r="H254" s="320"/>
    </row>
  </sheetData>
  <sheetProtection/>
  <mergeCells count="7">
    <mergeCell ref="G2:I2"/>
    <mergeCell ref="G5:I5"/>
    <mergeCell ref="G6:I6"/>
    <mergeCell ref="A9:H9"/>
    <mergeCell ref="A10:H10"/>
    <mergeCell ref="G3:K3"/>
    <mergeCell ref="G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K270"/>
  <sheetViews>
    <sheetView tabSelected="1" zoomScale="80" zoomScaleNormal="80" zoomScaleSheetLayoutView="90" workbookViewId="0" topLeftCell="A1">
      <selection activeCell="H8" sqref="H8"/>
    </sheetView>
  </sheetViews>
  <sheetFormatPr defaultColWidth="9.00390625" defaultRowHeight="12.75"/>
  <cols>
    <col min="1" max="1" width="61.625" style="93" customWidth="1"/>
    <col min="2" max="2" width="16.125" style="109" customWidth="1"/>
    <col min="3" max="3" width="7.00390625" style="109" customWidth="1"/>
    <col min="4" max="4" width="4.375" style="109" customWidth="1"/>
    <col min="5" max="5" width="4.125" style="109" customWidth="1"/>
    <col min="6" max="6" width="6.625" style="109" customWidth="1"/>
    <col min="7" max="7" width="15.875" style="94" customWidth="1"/>
    <col min="8" max="8" width="18.25390625" style="95" customWidth="1"/>
    <col min="9" max="9" width="18.00390625" style="94" customWidth="1"/>
    <col min="10" max="10" width="10.875" style="94" customWidth="1"/>
    <col min="11" max="12" width="14.625" style="94" bestFit="1" customWidth="1"/>
    <col min="13" max="16384" width="9.125" style="94" customWidth="1"/>
  </cols>
  <sheetData>
    <row r="2" spans="2:9" ht="15.75">
      <c r="B2" s="341"/>
      <c r="C2" s="341"/>
      <c r="D2" s="341"/>
      <c r="E2" s="341"/>
      <c r="F2" s="341"/>
      <c r="G2" s="386" t="s">
        <v>74</v>
      </c>
      <c r="H2" s="386"/>
      <c r="I2" s="386"/>
    </row>
    <row r="3" spans="2:11" ht="15.75">
      <c r="B3" s="342"/>
      <c r="C3" s="342"/>
      <c r="D3" s="342"/>
      <c r="E3" s="342"/>
      <c r="F3" s="342"/>
      <c r="G3" s="381" t="s">
        <v>354</v>
      </c>
      <c r="H3" s="380"/>
      <c r="I3" s="380"/>
      <c r="J3" s="380"/>
      <c r="K3" s="380"/>
    </row>
    <row r="4" spans="2:11" ht="15.75">
      <c r="B4" s="323"/>
      <c r="C4" s="324"/>
      <c r="D4" s="197"/>
      <c r="E4" s="197"/>
      <c r="F4" s="197"/>
      <c r="G4" s="385" t="s">
        <v>350</v>
      </c>
      <c r="H4" s="356"/>
      <c r="I4" s="356"/>
      <c r="J4" s="356"/>
      <c r="K4" s="322"/>
    </row>
    <row r="5" spans="2:11" ht="15.75">
      <c r="B5" s="342"/>
      <c r="C5" s="342"/>
      <c r="D5" s="342"/>
      <c r="E5" s="342"/>
      <c r="F5" s="342"/>
      <c r="G5" s="387" t="s">
        <v>473</v>
      </c>
      <c r="H5" s="387"/>
      <c r="I5" s="387"/>
      <c r="J5" s="147"/>
      <c r="K5" s="147"/>
    </row>
    <row r="6" spans="2:11" ht="15.75">
      <c r="B6" s="342"/>
      <c r="C6" s="342"/>
      <c r="D6" s="342"/>
      <c r="E6" s="342"/>
      <c r="F6" s="342"/>
      <c r="G6" s="381" t="s">
        <v>472</v>
      </c>
      <c r="H6" s="381"/>
      <c r="I6" s="381"/>
      <c r="J6" s="381"/>
      <c r="K6" s="381"/>
    </row>
    <row r="7" spans="2:8" ht="15.75">
      <c r="B7" s="323"/>
      <c r="C7" s="323"/>
      <c r="D7" s="323"/>
      <c r="E7" s="323"/>
      <c r="F7" s="323"/>
      <c r="G7" s="323"/>
      <c r="H7" s="323"/>
    </row>
    <row r="8" spans="2:7" ht="18.75">
      <c r="B8" s="96"/>
      <c r="C8" s="96"/>
      <c r="D8" s="96"/>
      <c r="E8" s="96"/>
      <c r="F8" s="96"/>
      <c r="G8" s="96"/>
    </row>
    <row r="9" spans="1:8" ht="15">
      <c r="A9" s="393" t="s">
        <v>443</v>
      </c>
      <c r="B9" s="393"/>
      <c r="C9" s="393"/>
      <c r="D9" s="393"/>
      <c r="E9" s="393"/>
      <c r="F9" s="393"/>
      <c r="G9" s="393"/>
      <c r="H9" s="393"/>
    </row>
    <row r="10" spans="1:8" ht="18.75">
      <c r="A10" s="394"/>
      <c r="B10" s="394"/>
      <c r="C10" s="394"/>
      <c r="D10" s="394"/>
      <c r="E10" s="394"/>
      <c r="F10" s="394"/>
      <c r="G10" s="394"/>
      <c r="H10" s="394"/>
    </row>
    <row r="11" spans="1:8" ht="18.75">
      <c r="A11" s="97"/>
      <c r="B11" s="97"/>
      <c r="C11" s="97"/>
      <c r="D11" s="97"/>
      <c r="E11" s="97"/>
      <c r="F11" s="97"/>
      <c r="G11" s="97"/>
      <c r="H11" s="135" t="s">
        <v>79</v>
      </c>
    </row>
    <row r="12" spans="1:8" ht="23.25" customHeight="1">
      <c r="A12" s="136" t="s">
        <v>202</v>
      </c>
      <c r="B12" s="136" t="s">
        <v>39</v>
      </c>
      <c r="C12" s="136" t="s">
        <v>40</v>
      </c>
      <c r="D12" s="137" t="s">
        <v>194</v>
      </c>
      <c r="E12" s="137" t="s">
        <v>195</v>
      </c>
      <c r="F12" s="136" t="s">
        <v>38</v>
      </c>
      <c r="G12" s="98" t="s">
        <v>74</v>
      </c>
      <c r="H12" s="138" t="s">
        <v>192</v>
      </c>
    </row>
    <row r="13" spans="1:8" ht="15.75">
      <c r="A13" s="99">
        <v>1</v>
      </c>
      <c r="B13" s="99">
        <v>2</v>
      </c>
      <c r="C13" s="99">
        <v>3</v>
      </c>
      <c r="D13" s="100" t="s">
        <v>31</v>
      </c>
      <c r="E13" s="100" t="s">
        <v>203</v>
      </c>
      <c r="F13" s="99">
        <v>6</v>
      </c>
      <c r="G13" s="99">
        <v>7</v>
      </c>
      <c r="H13" s="101">
        <v>8</v>
      </c>
    </row>
    <row r="14" spans="1:8" ht="48.75" customHeight="1">
      <c r="A14" s="191" t="s">
        <v>340</v>
      </c>
      <c r="B14" s="102" t="s">
        <v>204</v>
      </c>
      <c r="C14" s="102"/>
      <c r="D14" s="103"/>
      <c r="E14" s="103"/>
      <c r="F14" s="103"/>
      <c r="G14" s="325">
        <f>G15+G18+G23+G26+G31</f>
        <v>68815.4</v>
      </c>
      <c r="H14" s="325">
        <f>H15+H18+H23+H26+H31</f>
        <v>67712.70000000001</v>
      </c>
    </row>
    <row r="15" spans="1:8" ht="63" hidden="1">
      <c r="A15" s="247" t="s">
        <v>338</v>
      </c>
      <c r="B15" s="190" t="s">
        <v>268</v>
      </c>
      <c r="C15" s="105"/>
      <c r="D15" s="105"/>
      <c r="E15" s="105"/>
      <c r="F15" s="105"/>
      <c r="G15" s="245">
        <f>G16</f>
        <v>0</v>
      </c>
      <c r="H15" s="245">
        <f>H16</f>
        <v>0</v>
      </c>
    </row>
    <row r="16" spans="1:8" ht="31.5" hidden="1">
      <c r="A16" s="192" t="s">
        <v>206</v>
      </c>
      <c r="B16" s="105" t="s">
        <v>269</v>
      </c>
      <c r="C16" s="105"/>
      <c r="D16" s="105"/>
      <c r="E16" s="105"/>
      <c r="F16" s="105"/>
      <c r="G16" s="245">
        <f>G17</f>
        <v>0</v>
      </c>
      <c r="H16" s="245">
        <f>H17</f>
        <v>0</v>
      </c>
    </row>
    <row r="17" spans="1:8" ht="15.75" hidden="1">
      <c r="A17" s="104" t="s">
        <v>270</v>
      </c>
      <c r="B17" s="105" t="s">
        <v>269</v>
      </c>
      <c r="C17" s="105" t="s">
        <v>205</v>
      </c>
      <c r="D17" s="105" t="s">
        <v>169</v>
      </c>
      <c r="E17" s="105" t="s">
        <v>152</v>
      </c>
      <c r="F17" s="105" t="s">
        <v>207</v>
      </c>
      <c r="G17" s="245">
        <v>0</v>
      </c>
      <c r="H17" s="245">
        <v>0</v>
      </c>
    </row>
    <row r="18" spans="1:8" ht="32.25" customHeight="1">
      <c r="A18" s="211" t="s">
        <v>411</v>
      </c>
      <c r="B18" s="244" t="s">
        <v>447</v>
      </c>
      <c r="C18" s="105"/>
      <c r="D18" s="105"/>
      <c r="E18" s="105"/>
      <c r="F18" s="105"/>
      <c r="G18" s="245">
        <f>G19+G21</f>
        <v>2106.9</v>
      </c>
      <c r="H18" s="245">
        <f>H19+H21</f>
        <v>2106.9</v>
      </c>
    </row>
    <row r="19" spans="1:8" ht="22.5" customHeight="1">
      <c r="A19" s="211" t="s">
        <v>271</v>
      </c>
      <c r="B19" s="244" t="s">
        <v>448</v>
      </c>
      <c r="C19" s="105"/>
      <c r="D19" s="105"/>
      <c r="E19" s="105"/>
      <c r="F19" s="105"/>
      <c r="G19" s="245">
        <f>G20</f>
        <v>42</v>
      </c>
      <c r="H19" s="245">
        <f>H20</f>
        <v>42</v>
      </c>
    </row>
    <row r="20" spans="1:8" ht="32.25" customHeight="1">
      <c r="A20" s="215" t="s">
        <v>369</v>
      </c>
      <c r="B20" s="244" t="s">
        <v>448</v>
      </c>
      <c r="C20" s="105" t="s">
        <v>205</v>
      </c>
      <c r="D20" s="105" t="s">
        <v>169</v>
      </c>
      <c r="E20" s="105" t="s">
        <v>152</v>
      </c>
      <c r="F20" s="105" t="s">
        <v>449</v>
      </c>
      <c r="G20" s="245">
        <f>100-58</f>
        <v>42</v>
      </c>
      <c r="H20" s="245">
        <f>100-58</f>
        <v>42</v>
      </c>
    </row>
    <row r="21" spans="1:8" ht="18.75" customHeight="1">
      <c r="A21" s="251" t="s">
        <v>412</v>
      </c>
      <c r="B21" s="244" t="s">
        <v>450</v>
      </c>
      <c r="C21" s="105"/>
      <c r="D21" s="105"/>
      <c r="E21" s="105"/>
      <c r="F21" s="105"/>
      <c r="G21" s="245">
        <f>G22</f>
        <v>2064.9</v>
      </c>
      <c r="H21" s="245">
        <f>H22</f>
        <v>2064.9</v>
      </c>
    </row>
    <row r="22" spans="1:8" ht="32.25" customHeight="1">
      <c r="A22" s="215" t="s">
        <v>369</v>
      </c>
      <c r="B22" s="244" t="s">
        <v>450</v>
      </c>
      <c r="C22" s="105" t="s">
        <v>205</v>
      </c>
      <c r="D22" s="105" t="s">
        <v>169</v>
      </c>
      <c r="E22" s="105" t="s">
        <v>152</v>
      </c>
      <c r="F22" s="105" t="s">
        <v>449</v>
      </c>
      <c r="G22" s="245">
        <f>1534.2+485+65.8-20.1</f>
        <v>2064.9</v>
      </c>
      <c r="H22" s="245">
        <f>1534.2+485+65.8-20.1</f>
        <v>2064.9</v>
      </c>
    </row>
    <row r="23" spans="1:8" ht="30.75" customHeight="1">
      <c r="A23" s="198" t="s">
        <v>413</v>
      </c>
      <c r="B23" s="218" t="s">
        <v>451</v>
      </c>
      <c r="C23" s="209">
        <v>156</v>
      </c>
      <c r="D23" s="212" t="s">
        <v>169</v>
      </c>
      <c r="E23" s="212" t="s">
        <v>152</v>
      </c>
      <c r="F23" s="216"/>
      <c r="G23" s="245">
        <f>G24</f>
        <v>7886.400000000001</v>
      </c>
      <c r="H23" s="245">
        <f>H24</f>
        <v>7886.400000000001</v>
      </c>
    </row>
    <row r="24" spans="1:8" ht="19.5" customHeight="1">
      <c r="A24" s="211" t="s">
        <v>290</v>
      </c>
      <c r="B24" s="218" t="s">
        <v>452</v>
      </c>
      <c r="C24" s="209">
        <v>156</v>
      </c>
      <c r="D24" s="212" t="s">
        <v>169</v>
      </c>
      <c r="E24" s="212" t="s">
        <v>152</v>
      </c>
      <c r="F24" s="216"/>
      <c r="G24" s="245">
        <f>G25</f>
        <v>7886.400000000001</v>
      </c>
      <c r="H24" s="245">
        <f>H25</f>
        <v>7886.400000000001</v>
      </c>
    </row>
    <row r="25" spans="1:8" ht="30.75" customHeight="1">
      <c r="A25" s="215" t="s">
        <v>369</v>
      </c>
      <c r="B25" s="218" t="s">
        <v>452</v>
      </c>
      <c r="C25" s="209">
        <v>156</v>
      </c>
      <c r="D25" s="212" t="s">
        <v>169</v>
      </c>
      <c r="E25" s="212" t="s">
        <v>152</v>
      </c>
      <c r="F25" s="216">
        <v>240</v>
      </c>
      <c r="G25" s="245">
        <f>1150+7810.6+360-1434.2</f>
        <v>7886.400000000001</v>
      </c>
      <c r="H25" s="245">
        <f>1150+7810.6+360-1434.2</f>
        <v>7886.400000000001</v>
      </c>
    </row>
    <row r="26" spans="1:8" ht="30.75" customHeight="1">
      <c r="A26" s="211" t="s">
        <v>414</v>
      </c>
      <c r="B26" s="218" t="s">
        <v>453</v>
      </c>
      <c r="C26" s="209">
        <v>156</v>
      </c>
      <c r="D26" s="212" t="s">
        <v>169</v>
      </c>
      <c r="E26" s="212" t="s">
        <v>152</v>
      </c>
      <c r="F26" s="216"/>
      <c r="G26" s="245">
        <f>G27+G29</f>
        <v>2346.1</v>
      </c>
      <c r="H26" s="245">
        <f>H27+H29</f>
        <v>2346.1</v>
      </c>
    </row>
    <row r="27" spans="1:8" ht="30.75" customHeight="1">
      <c r="A27" s="198" t="s">
        <v>415</v>
      </c>
      <c r="B27" s="218" t="s">
        <v>454</v>
      </c>
      <c r="C27" s="209">
        <v>156</v>
      </c>
      <c r="D27" s="212" t="s">
        <v>169</v>
      </c>
      <c r="E27" s="212" t="s">
        <v>152</v>
      </c>
      <c r="F27" s="216"/>
      <c r="G27" s="245">
        <f>G28</f>
        <v>387.29999999999995</v>
      </c>
      <c r="H27" s="245">
        <f>H28</f>
        <v>387.29999999999995</v>
      </c>
    </row>
    <row r="28" spans="1:8" ht="30.75" customHeight="1">
      <c r="A28" s="215" t="s">
        <v>369</v>
      </c>
      <c r="B28" s="218" t="s">
        <v>454</v>
      </c>
      <c r="C28" s="209">
        <v>156</v>
      </c>
      <c r="D28" s="212" t="s">
        <v>169</v>
      </c>
      <c r="E28" s="212" t="s">
        <v>152</v>
      </c>
      <c r="F28" s="216">
        <v>240</v>
      </c>
      <c r="G28" s="245">
        <f>692.3-255-50</f>
        <v>387.29999999999995</v>
      </c>
      <c r="H28" s="245">
        <f>692.3-255-50</f>
        <v>387.29999999999995</v>
      </c>
    </row>
    <row r="29" spans="1:8" ht="19.5" customHeight="1">
      <c r="A29" s="198" t="s">
        <v>416</v>
      </c>
      <c r="B29" s="218" t="s">
        <v>455</v>
      </c>
      <c r="C29" s="209">
        <v>156</v>
      </c>
      <c r="D29" s="212" t="s">
        <v>169</v>
      </c>
      <c r="E29" s="212" t="s">
        <v>152</v>
      </c>
      <c r="F29" s="216"/>
      <c r="G29" s="245">
        <f>G30</f>
        <v>1958.8</v>
      </c>
      <c r="H29" s="245">
        <f>H30</f>
        <v>1958.8</v>
      </c>
    </row>
    <row r="30" spans="1:8" ht="30.75" customHeight="1">
      <c r="A30" s="215" t="s">
        <v>369</v>
      </c>
      <c r="B30" s="218" t="s">
        <v>455</v>
      </c>
      <c r="C30" s="209">
        <v>156</v>
      </c>
      <c r="D30" s="212" t="s">
        <v>169</v>
      </c>
      <c r="E30" s="212" t="s">
        <v>152</v>
      </c>
      <c r="F30" s="216">
        <v>240</v>
      </c>
      <c r="G30" s="245">
        <v>1958.8</v>
      </c>
      <c r="H30" s="245">
        <v>1958.8</v>
      </c>
    </row>
    <row r="31" spans="1:8" ht="36.75" customHeight="1">
      <c r="A31" s="247" t="s">
        <v>406</v>
      </c>
      <c r="B31" s="190" t="s">
        <v>268</v>
      </c>
      <c r="C31" s="105"/>
      <c r="D31" s="105"/>
      <c r="E31" s="105"/>
      <c r="F31" s="105"/>
      <c r="G31" s="245">
        <f>G32+G34+G36+G38</f>
        <v>56476</v>
      </c>
      <c r="H31" s="245">
        <f>H32+H34+H36+H38</f>
        <v>55373.3</v>
      </c>
    </row>
    <row r="32" spans="1:8" ht="66" customHeight="1">
      <c r="A32" s="249" t="s">
        <v>407</v>
      </c>
      <c r="B32" s="218" t="s">
        <v>456</v>
      </c>
      <c r="C32" s="105"/>
      <c r="D32" s="105"/>
      <c r="E32" s="105"/>
      <c r="F32" s="105"/>
      <c r="G32" s="245">
        <f>G33</f>
        <v>50000</v>
      </c>
      <c r="H32" s="245">
        <f>H33</f>
        <v>50000</v>
      </c>
    </row>
    <row r="33" spans="1:8" ht="30.75" customHeight="1">
      <c r="A33" s="236" t="s">
        <v>369</v>
      </c>
      <c r="B33" s="218" t="s">
        <v>456</v>
      </c>
      <c r="C33" s="105" t="s">
        <v>205</v>
      </c>
      <c r="D33" s="105" t="s">
        <v>169</v>
      </c>
      <c r="E33" s="105" t="s">
        <v>152</v>
      </c>
      <c r="F33" s="105" t="s">
        <v>449</v>
      </c>
      <c r="G33" s="245">
        <f>50000+8960.6-8960.6</f>
        <v>50000</v>
      </c>
      <c r="H33" s="245">
        <f>50000+8960.6-8960.6</f>
        <v>50000</v>
      </c>
    </row>
    <row r="34" spans="1:8" ht="31.5">
      <c r="A34" s="104" t="s">
        <v>206</v>
      </c>
      <c r="B34" s="105" t="s">
        <v>269</v>
      </c>
      <c r="C34" s="105"/>
      <c r="D34" s="105"/>
      <c r="E34" s="105"/>
      <c r="F34" s="105"/>
      <c r="G34" s="245">
        <f>G35</f>
        <v>5364.9</v>
      </c>
      <c r="H34" s="245">
        <f>H35</f>
        <v>5364.9</v>
      </c>
    </row>
    <row r="35" spans="1:8" ht="29.25" customHeight="1">
      <c r="A35" s="236" t="s">
        <v>369</v>
      </c>
      <c r="B35" s="105" t="s">
        <v>269</v>
      </c>
      <c r="C35" s="105" t="s">
        <v>205</v>
      </c>
      <c r="D35" s="105" t="s">
        <v>169</v>
      </c>
      <c r="E35" s="105" t="s">
        <v>152</v>
      </c>
      <c r="F35" s="105" t="s">
        <v>449</v>
      </c>
      <c r="G35" s="245">
        <f>5364.9+34.2+1500-1534.2</f>
        <v>5364.9</v>
      </c>
      <c r="H35" s="245">
        <f>5364.9+34.2+1500-1534.2</f>
        <v>5364.9</v>
      </c>
    </row>
    <row r="36" spans="1:8" ht="15.75">
      <c r="A36" s="104" t="s">
        <v>290</v>
      </c>
      <c r="B36" s="105" t="s">
        <v>457</v>
      </c>
      <c r="C36" s="188"/>
      <c r="D36" s="188"/>
      <c r="E36" s="188"/>
      <c r="F36" s="188"/>
      <c r="G36" s="245">
        <f>G37</f>
        <v>1111.1</v>
      </c>
      <c r="H36" s="245">
        <f>H37</f>
        <v>8.4</v>
      </c>
    </row>
    <row r="37" spans="1:8" ht="31.5">
      <c r="A37" s="236" t="s">
        <v>369</v>
      </c>
      <c r="B37" s="105" t="s">
        <v>457</v>
      </c>
      <c r="C37" s="105" t="s">
        <v>205</v>
      </c>
      <c r="D37" s="105" t="s">
        <v>169</v>
      </c>
      <c r="E37" s="105" t="s">
        <v>152</v>
      </c>
      <c r="F37" s="105" t="s">
        <v>449</v>
      </c>
      <c r="G37" s="245">
        <v>1111.1</v>
      </c>
      <c r="H37" s="245">
        <v>8.4</v>
      </c>
    </row>
    <row r="38" spans="1:8" ht="15.75">
      <c r="A38" s="104" t="s">
        <v>290</v>
      </c>
      <c r="B38" s="105" t="s">
        <v>458</v>
      </c>
      <c r="C38" s="105"/>
      <c r="D38" s="105"/>
      <c r="E38" s="105"/>
      <c r="F38" s="105"/>
      <c r="G38" s="326">
        <f>G39</f>
        <v>0</v>
      </c>
      <c r="H38" s="326">
        <f>H39</f>
        <v>0</v>
      </c>
    </row>
    <row r="39" spans="1:8" ht="31.5">
      <c r="A39" s="236" t="s">
        <v>369</v>
      </c>
      <c r="B39" s="105" t="s">
        <v>458</v>
      </c>
      <c r="C39" s="105" t="s">
        <v>205</v>
      </c>
      <c r="D39" s="105" t="s">
        <v>169</v>
      </c>
      <c r="E39" s="105" t="s">
        <v>152</v>
      </c>
      <c r="F39" s="105" t="s">
        <v>207</v>
      </c>
      <c r="G39" s="245">
        <f>8960.6-8960.6</f>
        <v>0</v>
      </c>
      <c r="H39" s="245">
        <f>8960.6-8960.6</f>
        <v>0</v>
      </c>
    </row>
    <row r="40" spans="1:8" ht="60" customHeight="1">
      <c r="A40" s="165" t="s">
        <v>341</v>
      </c>
      <c r="B40" s="102" t="s">
        <v>272</v>
      </c>
      <c r="C40" s="166"/>
      <c r="D40" s="167"/>
      <c r="E40" s="167"/>
      <c r="F40" s="99"/>
      <c r="G40" s="327">
        <f>G41+G48+G51+G54+G57+G60</f>
        <v>24506.1</v>
      </c>
      <c r="H40" s="327">
        <f>H41+H48+H51+H54+H57+H60</f>
        <v>24310.699999999997</v>
      </c>
    </row>
    <row r="41" spans="1:8" ht="47.25">
      <c r="A41" s="168" t="s">
        <v>330</v>
      </c>
      <c r="B41" s="105" t="s">
        <v>273</v>
      </c>
      <c r="C41" s="99"/>
      <c r="D41" s="100"/>
      <c r="E41" s="100"/>
      <c r="F41" s="99"/>
      <c r="G41" s="245">
        <f>G42+G45</f>
        <v>3415.1</v>
      </c>
      <c r="H41" s="245">
        <f>H42+H45</f>
        <v>3415.1</v>
      </c>
    </row>
    <row r="42" spans="1:8" ht="17.25" customHeight="1">
      <c r="A42" s="168" t="s">
        <v>218</v>
      </c>
      <c r="B42" s="105" t="s">
        <v>274</v>
      </c>
      <c r="C42" s="99"/>
      <c r="D42" s="100"/>
      <c r="E42" s="100"/>
      <c r="F42" s="99"/>
      <c r="G42" s="328">
        <f>G43+G44</f>
        <v>2673</v>
      </c>
      <c r="H42" s="328">
        <f>H43+H44</f>
        <v>2673</v>
      </c>
    </row>
    <row r="43" spans="1:8" ht="30.75" customHeight="1">
      <c r="A43" s="215" t="s">
        <v>369</v>
      </c>
      <c r="B43" s="105" t="s">
        <v>274</v>
      </c>
      <c r="C43" s="99">
        <v>156</v>
      </c>
      <c r="D43" s="100" t="s">
        <v>154</v>
      </c>
      <c r="E43" s="100" t="s">
        <v>165</v>
      </c>
      <c r="F43" s="99">
        <v>240</v>
      </c>
      <c r="G43" s="329">
        <v>30</v>
      </c>
      <c r="H43" s="329">
        <v>30</v>
      </c>
    </row>
    <row r="44" spans="1:8" ht="15.75">
      <c r="A44" s="236" t="s">
        <v>385</v>
      </c>
      <c r="B44" s="105" t="s">
        <v>274</v>
      </c>
      <c r="C44" s="99">
        <v>156</v>
      </c>
      <c r="D44" s="100" t="s">
        <v>154</v>
      </c>
      <c r="E44" s="100" t="s">
        <v>165</v>
      </c>
      <c r="F44" s="99">
        <v>610</v>
      </c>
      <c r="G44" s="330">
        <v>2643</v>
      </c>
      <c r="H44" s="330">
        <v>2643</v>
      </c>
    </row>
    <row r="45" spans="1:8" ht="47.25">
      <c r="A45" s="211" t="s">
        <v>219</v>
      </c>
      <c r="B45" s="218" t="s">
        <v>331</v>
      </c>
      <c r="C45" s="99"/>
      <c r="D45" s="100"/>
      <c r="E45" s="100"/>
      <c r="F45" s="99"/>
      <c r="G45" s="329">
        <f>G46+G47</f>
        <v>742.1</v>
      </c>
      <c r="H45" s="329">
        <f>H46+H47</f>
        <v>742.1</v>
      </c>
    </row>
    <row r="46" spans="1:8" ht="31.5">
      <c r="A46" s="215" t="s">
        <v>369</v>
      </c>
      <c r="B46" s="218" t="s">
        <v>331</v>
      </c>
      <c r="C46" s="99">
        <v>156</v>
      </c>
      <c r="D46" s="100" t="s">
        <v>154</v>
      </c>
      <c r="E46" s="100" t="s">
        <v>165</v>
      </c>
      <c r="F46" s="99">
        <v>240</v>
      </c>
      <c r="G46" s="329">
        <f>401.7+180.4</f>
        <v>582.1</v>
      </c>
      <c r="H46" s="329">
        <f>401.7+180.4</f>
        <v>582.1</v>
      </c>
    </row>
    <row r="47" spans="1:8" ht="15.75">
      <c r="A47" s="168" t="s">
        <v>167</v>
      </c>
      <c r="B47" s="218" t="s">
        <v>331</v>
      </c>
      <c r="C47" s="99">
        <v>156</v>
      </c>
      <c r="D47" s="100" t="s">
        <v>154</v>
      </c>
      <c r="E47" s="100" t="s">
        <v>165</v>
      </c>
      <c r="F47" s="99">
        <v>610</v>
      </c>
      <c r="G47" s="331">
        <v>160</v>
      </c>
      <c r="H47" s="331">
        <v>160</v>
      </c>
    </row>
    <row r="48" spans="1:8" ht="32.25" customHeight="1">
      <c r="A48" s="198" t="s">
        <v>332</v>
      </c>
      <c r="B48" s="218">
        <v>3900200000</v>
      </c>
      <c r="C48" s="99"/>
      <c r="D48" s="100"/>
      <c r="E48" s="100"/>
      <c r="F48" s="99"/>
      <c r="G48" s="245">
        <f>G49</f>
        <v>900.4000000000001</v>
      </c>
      <c r="H48" s="245">
        <f>H49</f>
        <v>900.4000000000001</v>
      </c>
    </row>
    <row r="49" spans="1:8" ht="66.75" customHeight="1">
      <c r="A49" s="211" t="s">
        <v>220</v>
      </c>
      <c r="B49" s="218" t="s">
        <v>287</v>
      </c>
      <c r="C49" s="99"/>
      <c r="D49" s="100"/>
      <c r="E49" s="100"/>
      <c r="F49" s="99"/>
      <c r="G49" s="245">
        <f>G50</f>
        <v>900.4000000000001</v>
      </c>
      <c r="H49" s="245">
        <f>H50</f>
        <v>900.4000000000001</v>
      </c>
    </row>
    <row r="50" spans="1:8" ht="33.75" customHeight="1">
      <c r="A50" s="215" t="s">
        <v>369</v>
      </c>
      <c r="B50" s="218" t="s">
        <v>287</v>
      </c>
      <c r="C50" s="99">
        <v>156</v>
      </c>
      <c r="D50" s="100" t="s">
        <v>154</v>
      </c>
      <c r="E50" s="100" t="s">
        <v>165</v>
      </c>
      <c r="F50" s="99">
        <v>240</v>
      </c>
      <c r="G50" s="245">
        <f>1033.5+200-206.3-126.8</f>
        <v>900.4000000000001</v>
      </c>
      <c r="H50" s="245">
        <f>1033.5+200-206.3-126.8</f>
        <v>900.4000000000001</v>
      </c>
    </row>
    <row r="51" spans="1:8" ht="31.5" hidden="1">
      <c r="A51" s="168" t="s">
        <v>333</v>
      </c>
      <c r="B51" s="218">
        <v>3900400000</v>
      </c>
      <c r="C51" s="99"/>
      <c r="D51" s="100"/>
      <c r="E51" s="100"/>
      <c r="F51" s="99"/>
      <c r="G51" s="332">
        <f>G53</f>
        <v>0</v>
      </c>
      <c r="H51" s="332">
        <f>H53</f>
        <v>0</v>
      </c>
    </row>
    <row r="52" spans="1:8" ht="15.75" hidden="1">
      <c r="A52" s="168" t="s">
        <v>218</v>
      </c>
      <c r="B52" s="218">
        <v>3900420300</v>
      </c>
      <c r="C52" s="99"/>
      <c r="D52" s="100"/>
      <c r="E52" s="100"/>
      <c r="F52" s="99"/>
      <c r="G52" s="332"/>
      <c r="H52" s="332"/>
    </row>
    <row r="53" spans="1:8" ht="15.75" hidden="1">
      <c r="A53" s="168" t="s">
        <v>270</v>
      </c>
      <c r="B53" s="218">
        <v>3900420300</v>
      </c>
      <c r="C53" s="99">
        <v>156</v>
      </c>
      <c r="D53" s="100" t="s">
        <v>154</v>
      </c>
      <c r="E53" s="100" t="s">
        <v>165</v>
      </c>
      <c r="F53" s="99">
        <v>244</v>
      </c>
      <c r="G53" s="332">
        <v>0</v>
      </c>
      <c r="H53" s="332">
        <v>0</v>
      </c>
    </row>
    <row r="54" spans="1:8" ht="15.75">
      <c r="A54" s="198" t="s">
        <v>334</v>
      </c>
      <c r="B54" s="218">
        <v>3900500000</v>
      </c>
      <c r="C54" s="99"/>
      <c r="D54" s="100"/>
      <c r="E54" s="100"/>
      <c r="F54" s="99"/>
      <c r="G54" s="245">
        <f>G55</f>
        <v>18790.199999999997</v>
      </c>
      <c r="H54" s="245">
        <f>H55</f>
        <v>18790.199999999997</v>
      </c>
    </row>
    <row r="55" spans="1:8" ht="48.75" customHeight="1">
      <c r="A55" s="211" t="s">
        <v>219</v>
      </c>
      <c r="B55" s="218" t="s">
        <v>335</v>
      </c>
      <c r="C55" s="99"/>
      <c r="D55" s="100"/>
      <c r="E55" s="100"/>
      <c r="F55" s="99"/>
      <c r="G55" s="245">
        <f>G56</f>
        <v>18790.199999999997</v>
      </c>
      <c r="H55" s="245">
        <f>H56</f>
        <v>18790.199999999997</v>
      </c>
    </row>
    <row r="56" spans="1:8" ht="14.25" customHeight="1">
      <c r="A56" s="211" t="s">
        <v>270</v>
      </c>
      <c r="B56" s="218" t="s">
        <v>335</v>
      </c>
      <c r="C56" s="99">
        <v>156</v>
      </c>
      <c r="D56" s="100" t="s">
        <v>154</v>
      </c>
      <c r="E56" s="100" t="s">
        <v>165</v>
      </c>
      <c r="F56" s="99">
        <v>244</v>
      </c>
      <c r="G56" s="213">
        <f>15128.6+4795.4-953.4-180.4</f>
        <v>18790.199999999997</v>
      </c>
      <c r="H56" s="213">
        <f>15128.6+4795.4-953.4-180.4</f>
        <v>18790.199999999997</v>
      </c>
    </row>
    <row r="57" spans="1:8" ht="47.25" customHeight="1" hidden="1">
      <c r="A57" s="211" t="s">
        <v>336</v>
      </c>
      <c r="B57" s="218">
        <v>3900600000</v>
      </c>
      <c r="C57" s="99"/>
      <c r="D57" s="100"/>
      <c r="E57" s="100"/>
      <c r="F57" s="99"/>
      <c r="G57" s="332">
        <f>G58</f>
        <v>0</v>
      </c>
      <c r="H57" s="332">
        <f>H58</f>
        <v>0</v>
      </c>
    </row>
    <row r="58" spans="1:8" ht="15" customHeight="1" hidden="1">
      <c r="A58" s="168" t="s">
        <v>218</v>
      </c>
      <c r="B58" s="218">
        <v>3900620300</v>
      </c>
      <c r="C58" s="99"/>
      <c r="D58" s="100"/>
      <c r="E58" s="100"/>
      <c r="F58" s="99"/>
      <c r="G58" s="332">
        <f>G59</f>
        <v>0</v>
      </c>
      <c r="H58" s="332">
        <f>H59</f>
        <v>0</v>
      </c>
    </row>
    <row r="59" spans="1:8" ht="18" customHeight="1" hidden="1">
      <c r="A59" s="168" t="s">
        <v>270</v>
      </c>
      <c r="B59" s="218">
        <v>3900620300</v>
      </c>
      <c r="C59" s="99">
        <v>156</v>
      </c>
      <c r="D59" s="100" t="s">
        <v>154</v>
      </c>
      <c r="E59" s="100" t="s">
        <v>165</v>
      </c>
      <c r="F59" s="99">
        <v>244</v>
      </c>
      <c r="G59" s="225">
        <v>0</v>
      </c>
      <c r="H59" s="225">
        <v>0</v>
      </c>
    </row>
    <row r="60" spans="1:8" ht="18" customHeight="1">
      <c r="A60" s="333" t="s">
        <v>459</v>
      </c>
      <c r="B60" s="216">
        <v>3900700000</v>
      </c>
      <c r="C60" s="334"/>
      <c r="D60" s="335"/>
      <c r="E60" s="335"/>
      <c r="F60" s="334"/>
      <c r="G60" s="245">
        <f>G61</f>
        <v>1400.4</v>
      </c>
      <c r="H60" s="245">
        <f>H61</f>
        <v>1205</v>
      </c>
    </row>
    <row r="61" spans="1:8" ht="14.25" customHeight="1">
      <c r="A61" s="236" t="s">
        <v>218</v>
      </c>
      <c r="B61" s="216">
        <v>3900720300</v>
      </c>
      <c r="C61" s="334"/>
      <c r="D61" s="335"/>
      <c r="E61" s="335"/>
      <c r="F61" s="334"/>
      <c r="G61" s="245">
        <f>G62</f>
        <v>1400.4</v>
      </c>
      <c r="H61" s="245">
        <f>H62</f>
        <v>1205</v>
      </c>
    </row>
    <row r="62" spans="1:8" ht="29.25" customHeight="1">
      <c r="A62" s="236" t="s">
        <v>369</v>
      </c>
      <c r="B62" s="216">
        <v>3900720300</v>
      </c>
      <c r="C62" s="334">
        <v>156</v>
      </c>
      <c r="D62" s="335" t="s">
        <v>154</v>
      </c>
      <c r="E62" s="335" t="s">
        <v>165</v>
      </c>
      <c r="F62" s="334">
        <v>240</v>
      </c>
      <c r="G62" s="245">
        <f>75+174.2+1000+182-30.8</f>
        <v>1400.4</v>
      </c>
      <c r="H62" s="245">
        <v>1205</v>
      </c>
    </row>
    <row r="63" spans="1:8" ht="77.25" customHeight="1">
      <c r="A63" s="165" t="s">
        <v>275</v>
      </c>
      <c r="B63" s="103" t="s">
        <v>276</v>
      </c>
      <c r="C63" s="99"/>
      <c r="D63" s="100"/>
      <c r="E63" s="100"/>
      <c r="F63" s="99"/>
      <c r="G63" s="327">
        <f>G64+G67+G70+G73</f>
        <v>30492.2</v>
      </c>
      <c r="H63" s="327">
        <f>H64+H67+H70+H73</f>
        <v>29390.8</v>
      </c>
    </row>
    <row r="64" spans="1:8" ht="50.25" customHeight="1" hidden="1">
      <c r="A64" s="168" t="s">
        <v>460</v>
      </c>
      <c r="B64" s="105" t="s">
        <v>461</v>
      </c>
      <c r="C64" s="99"/>
      <c r="D64" s="100"/>
      <c r="E64" s="100"/>
      <c r="F64" s="99"/>
      <c r="G64" s="245">
        <f>G65</f>
        <v>0</v>
      </c>
      <c r="H64" s="245">
        <f>H65</f>
        <v>0</v>
      </c>
    </row>
    <row r="65" spans="1:8" ht="31.5" customHeight="1" hidden="1">
      <c r="A65" s="168" t="s">
        <v>277</v>
      </c>
      <c r="B65" s="105" t="s">
        <v>462</v>
      </c>
      <c r="C65" s="99"/>
      <c r="D65" s="100"/>
      <c r="E65" s="100"/>
      <c r="F65" s="99"/>
      <c r="G65" s="245">
        <f>G66</f>
        <v>0</v>
      </c>
      <c r="H65" s="245">
        <f>H66</f>
        <v>0</v>
      </c>
    </row>
    <row r="66" spans="1:8" ht="15.75" hidden="1">
      <c r="A66" s="168" t="s">
        <v>270</v>
      </c>
      <c r="B66" s="105" t="s">
        <v>462</v>
      </c>
      <c r="C66" s="99">
        <v>156</v>
      </c>
      <c r="D66" s="100" t="s">
        <v>169</v>
      </c>
      <c r="E66" s="100" t="s">
        <v>70</v>
      </c>
      <c r="F66" s="99">
        <v>243</v>
      </c>
      <c r="G66" s="245">
        <v>0</v>
      </c>
      <c r="H66" s="245">
        <v>0</v>
      </c>
    </row>
    <row r="67" spans="1:8" ht="46.5" customHeight="1">
      <c r="A67" s="168" t="s">
        <v>337</v>
      </c>
      <c r="B67" s="244" t="s">
        <v>342</v>
      </c>
      <c r="C67" s="99"/>
      <c r="D67" s="100"/>
      <c r="E67" s="100"/>
      <c r="F67" s="99"/>
      <c r="G67" s="245">
        <f>G68</f>
        <v>3351.7000000000003</v>
      </c>
      <c r="H67" s="245">
        <f>H68</f>
        <v>3351.7000000000003</v>
      </c>
    </row>
    <row r="68" spans="1:8" ht="20.25" customHeight="1">
      <c r="A68" s="211" t="s">
        <v>71</v>
      </c>
      <c r="B68" s="244" t="s">
        <v>343</v>
      </c>
      <c r="C68" s="99"/>
      <c r="D68" s="100"/>
      <c r="E68" s="100"/>
      <c r="F68" s="99"/>
      <c r="G68" s="245">
        <f>G69</f>
        <v>3351.7000000000003</v>
      </c>
      <c r="H68" s="245">
        <f>H69</f>
        <v>3351.7000000000003</v>
      </c>
    </row>
    <row r="69" spans="1:8" ht="49.5" customHeight="1">
      <c r="A69" s="243" t="s">
        <v>398</v>
      </c>
      <c r="B69" s="244" t="s">
        <v>343</v>
      </c>
      <c r="C69" s="99">
        <v>156</v>
      </c>
      <c r="D69" s="100" t="s">
        <v>169</v>
      </c>
      <c r="E69" s="100" t="s">
        <v>70</v>
      </c>
      <c r="F69" s="99">
        <v>810</v>
      </c>
      <c r="G69" s="245">
        <f>2400-100+100+900-115.7+167.4</f>
        <v>3351.7000000000003</v>
      </c>
      <c r="H69" s="245">
        <f>2400-100+100+900-115.7+167.4</f>
        <v>3351.7000000000003</v>
      </c>
    </row>
    <row r="70" spans="1:8" ht="27.75" customHeight="1">
      <c r="A70" s="168" t="s">
        <v>399</v>
      </c>
      <c r="B70" s="244" t="s">
        <v>463</v>
      </c>
      <c r="C70" s="99"/>
      <c r="D70" s="100"/>
      <c r="E70" s="100"/>
      <c r="F70" s="99"/>
      <c r="G70" s="245">
        <f>G71</f>
        <v>280.7999999999997</v>
      </c>
      <c r="H70" s="245">
        <f>H71</f>
        <v>280.7999999999997</v>
      </c>
    </row>
    <row r="71" spans="1:8" ht="18.75" customHeight="1">
      <c r="A71" s="211" t="s">
        <v>71</v>
      </c>
      <c r="B71" s="244" t="s">
        <v>464</v>
      </c>
      <c r="C71" s="99"/>
      <c r="D71" s="100"/>
      <c r="E71" s="100"/>
      <c r="F71" s="99"/>
      <c r="G71" s="245">
        <f>G72</f>
        <v>280.7999999999997</v>
      </c>
      <c r="H71" s="245">
        <f>H72</f>
        <v>280.7999999999997</v>
      </c>
    </row>
    <row r="72" spans="1:8" ht="34.5" customHeight="1">
      <c r="A72" s="215" t="s">
        <v>369</v>
      </c>
      <c r="B72" s="244" t="s">
        <v>464</v>
      </c>
      <c r="C72" s="99">
        <v>156</v>
      </c>
      <c r="D72" s="100" t="s">
        <v>169</v>
      </c>
      <c r="E72" s="100" t="s">
        <v>70</v>
      </c>
      <c r="F72" s="99">
        <v>240</v>
      </c>
      <c r="G72" s="245">
        <f>7063.2-2750-485-1360-2187.4</f>
        <v>280.7999999999997</v>
      </c>
      <c r="H72" s="245">
        <f>7063.2-2750-485-1360-2187.4</f>
        <v>280.7999999999997</v>
      </c>
    </row>
    <row r="73" spans="1:8" ht="33.75" customHeight="1">
      <c r="A73" s="168" t="s">
        <v>401</v>
      </c>
      <c r="B73" s="244" t="s">
        <v>465</v>
      </c>
      <c r="C73" s="99"/>
      <c r="D73" s="100"/>
      <c r="E73" s="100"/>
      <c r="F73" s="99"/>
      <c r="G73" s="245">
        <f>G74+G77</f>
        <v>26859.7</v>
      </c>
      <c r="H73" s="245">
        <f>H74+H77</f>
        <v>25758.3</v>
      </c>
    </row>
    <row r="74" spans="1:8" ht="31.5" customHeight="1">
      <c r="A74" s="211" t="s">
        <v>403</v>
      </c>
      <c r="B74" s="244" t="s">
        <v>466</v>
      </c>
      <c r="C74" s="99"/>
      <c r="D74" s="100"/>
      <c r="E74" s="100"/>
      <c r="F74" s="99"/>
      <c r="G74" s="245">
        <f>G76+G75</f>
        <v>26814.7</v>
      </c>
      <c r="H74" s="245">
        <f>H76+H75</f>
        <v>25713.3</v>
      </c>
    </row>
    <row r="75" spans="1:8" ht="31.5" customHeight="1">
      <c r="A75" s="215" t="s">
        <v>369</v>
      </c>
      <c r="B75" s="244" t="s">
        <v>466</v>
      </c>
      <c r="C75" s="99">
        <v>156</v>
      </c>
      <c r="D75" s="100" t="s">
        <v>169</v>
      </c>
      <c r="E75" s="100" t="s">
        <v>70</v>
      </c>
      <c r="F75" s="99">
        <v>240</v>
      </c>
      <c r="G75" s="245">
        <v>21</v>
      </c>
      <c r="H75" s="245">
        <v>21</v>
      </c>
    </row>
    <row r="76" spans="1:8" ht="21.75" customHeight="1">
      <c r="A76" s="243" t="s">
        <v>400</v>
      </c>
      <c r="B76" s="244" t="s">
        <v>466</v>
      </c>
      <c r="C76" s="99">
        <v>156</v>
      </c>
      <c r="D76" s="100" t="s">
        <v>169</v>
      </c>
      <c r="E76" s="100" t="s">
        <v>70</v>
      </c>
      <c r="F76" s="99">
        <v>410</v>
      </c>
      <c r="G76" s="245">
        <f>41723.5-21-14908.8</f>
        <v>26793.7</v>
      </c>
      <c r="H76" s="213">
        <v>25692.3</v>
      </c>
    </row>
    <row r="77" spans="1:8" ht="31.5" customHeight="1">
      <c r="A77" s="215" t="s">
        <v>405</v>
      </c>
      <c r="B77" s="244" t="s">
        <v>467</v>
      </c>
      <c r="C77" s="99"/>
      <c r="D77" s="100"/>
      <c r="E77" s="100"/>
      <c r="F77" s="99"/>
      <c r="G77" s="245">
        <f>G78</f>
        <v>45</v>
      </c>
      <c r="H77" s="245">
        <f>H78</f>
        <v>45</v>
      </c>
    </row>
    <row r="78" spans="1:8" ht="36.75" customHeight="1">
      <c r="A78" s="215" t="s">
        <v>369</v>
      </c>
      <c r="B78" s="244" t="s">
        <v>467</v>
      </c>
      <c r="C78" s="99">
        <v>156</v>
      </c>
      <c r="D78" s="100" t="s">
        <v>169</v>
      </c>
      <c r="E78" s="100" t="s">
        <v>70</v>
      </c>
      <c r="F78" s="99">
        <v>240</v>
      </c>
      <c r="G78" s="245">
        <f>100-55</f>
        <v>45</v>
      </c>
      <c r="H78" s="245">
        <f>100-55</f>
        <v>45</v>
      </c>
    </row>
    <row r="79" spans="1:8" ht="61.5" customHeight="1">
      <c r="A79" s="165" t="s">
        <v>384</v>
      </c>
      <c r="B79" s="102" t="s">
        <v>344</v>
      </c>
      <c r="C79" s="166"/>
      <c r="D79" s="167"/>
      <c r="E79" s="167"/>
      <c r="F79" s="99"/>
      <c r="G79" s="327">
        <f>G80+G84</f>
        <v>1816.3</v>
      </c>
      <c r="H79" s="327">
        <f>H80+H84</f>
        <v>1704.3999999999999</v>
      </c>
    </row>
    <row r="80" spans="1:8" ht="30" customHeight="1">
      <c r="A80" s="168" t="s">
        <v>328</v>
      </c>
      <c r="B80" s="105" t="s">
        <v>345</v>
      </c>
      <c r="C80" s="99"/>
      <c r="D80" s="100"/>
      <c r="E80" s="100"/>
      <c r="F80" s="99"/>
      <c r="G80" s="245">
        <f>G81</f>
        <v>60.8</v>
      </c>
      <c r="H80" s="245">
        <f>H81</f>
        <v>60.8</v>
      </c>
    </row>
    <row r="81" spans="1:8" ht="15.75">
      <c r="A81" s="168" t="s">
        <v>285</v>
      </c>
      <c r="B81" s="105" t="s">
        <v>346</v>
      </c>
      <c r="C81" s="99"/>
      <c r="D81" s="100"/>
      <c r="E81" s="100"/>
      <c r="F81" s="99"/>
      <c r="G81" s="336">
        <f>G82+G83</f>
        <v>60.8</v>
      </c>
      <c r="H81" s="336">
        <f>H82+H83</f>
        <v>60.8</v>
      </c>
    </row>
    <row r="82" spans="1:8" ht="15.75" hidden="1">
      <c r="A82" s="211" t="s">
        <v>270</v>
      </c>
      <c r="B82" s="105" t="s">
        <v>346</v>
      </c>
      <c r="C82" s="99">
        <v>156</v>
      </c>
      <c r="D82" s="100" t="s">
        <v>152</v>
      </c>
      <c r="E82" s="100" t="s">
        <v>326</v>
      </c>
      <c r="F82" s="99">
        <v>244</v>
      </c>
      <c r="G82" s="336">
        <v>0</v>
      </c>
      <c r="H82" s="336">
        <v>0</v>
      </c>
    </row>
    <row r="83" spans="1:8" ht="15.75">
      <c r="A83" s="236" t="s">
        <v>385</v>
      </c>
      <c r="B83" s="105" t="s">
        <v>346</v>
      </c>
      <c r="C83" s="99">
        <v>156</v>
      </c>
      <c r="D83" s="100" t="s">
        <v>152</v>
      </c>
      <c r="E83" s="100" t="s">
        <v>326</v>
      </c>
      <c r="F83" s="99">
        <v>610</v>
      </c>
      <c r="G83" s="331">
        <f>100-70+14.5+16.3</f>
        <v>60.8</v>
      </c>
      <c r="H83" s="331">
        <f>100-70+14.5+16.3</f>
        <v>60.8</v>
      </c>
    </row>
    <row r="84" spans="1:8" ht="31.5">
      <c r="A84" s="168" t="s">
        <v>386</v>
      </c>
      <c r="B84" s="105" t="s">
        <v>468</v>
      </c>
      <c r="C84" s="99"/>
      <c r="D84" s="100"/>
      <c r="E84" s="100"/>
      <c r="F84" s="337"/>
      <c r="G84" s="329">
        <f>G85+G87</f>
        <v>1755.5</v>
      </c>
      <c r="H84" s="329">
        <f>H85+H87</f>
        <v>1643.6</v>
      </c>
    </row>
    <row r="85" spans="1:8" ht="15.75">
      <c r="A85" s="168" t="s">
        <v>285</v>
      </c>
      <c r="B85" s="105" t="s">
        <v>469</v>
      </c>
      <c r="C85" s="99"/>
      <c r="D85" s="100"/>
      <c r="E85" s="100"/>
      <c r="F85" s="337"/>
      <c r="G85" s="329">
        <f>G86</f>
        <v>355.5</v>
      </c>
      <c r="H85" s="329">
        <f>H86</f>
        <v>355.5</v>
      </c>
    </row>
    <row r="86" spans="1:8" ht="30" customHeight="1">
      <c r="A86" s="215" t="s">
        <v>369</v>
      </c>
      <c r="B86" s="105" t="s">
        <v>469</v>
      </c>
      <c r="C86" s="99">
        <v>156</v>
      </c>
      <c r="D86" s="100" t="s">
        <v>152</v>
      </c>
      <c r="E86" s="100" t="s">
        <v>326</v>
      </c>
      <c r="F86" s="99">
        <v>240</v>
      </c>
      <c r="G86" s="329">
        <f>300+70-14.5</f>
        <v>355.5</v>
      </c>
      <c r="H86" s="329">
        <f>300+70-14.5</f>
        <v>355.5</v>
      </c>
    </row>
    <row r="87" spans="1:8" ht="17.25" customHeight="1">
      <c r="A87" s="211" t="s">
        <v>286</v>
      </c>
      <c r="B87" s="105" t="s">
        <v>470</v>
      </c>
      <c r="C87" s="99"/>
      <c r="D87" s="100"/>
      <c r="E87" s="100"/>
      <c r="F87" s="337"/>
      <c r="G87" s="329">
        <f>G88</f>
        <v>1400</v>
      </c>
      <c r="H87" s="329">
        <f>H88</f>
        <v>1288.1</v>
      </c>
    </row>
    <row r="88" spans="1:8" ht="30" customHeight="1">
      <c r="A88" s="215" t="s">
        <v>369</v>
      </c>
      <c r="B88" s="105" t="s">
        <v>470</v>
      </c>
      <c r="C88" s="99">
        <v>156</v>
      </c>
      <c r="D88" s="100" t="s">
        <v>152</v>
      </c>
      <c r="E88" s="100" t="s">
        <v>326</v>
      </c>
      <c r="F88" s="99">
        <v>240</v>
      </c>
      <c r="G88" s="329">
        <v>1400</v>
      </c>
      <c r="H88" s="329">
        <v>1288.1</v>
      </c>
    </row>
    <row r="89" spans="1:8" s="108" customFormat="1" ht="18.75" customHeight="1">
      <c r="A89" s="106" t="s">
        <v>198</v>
      </c>
      <c r="B89" s="105"/>
      <c r="C89" s="189"/>
      <c r="D89" s="189"/>
      <c r="E89" s="189"/>
      <c r="F89" s="107"/>
      <c r="G89" s="338">
        <f>G14+G40+G63+G79</f>
        <v>125630</v>
      </c>
      <c r="H89" s="338">
        <f>H14+H40+H63+H79</f>
        <v>123118.6</v>
      </c>
    </row>
    <row r="90" spans="1:8" s="111" customFormat="1" ht="18.75" customHeight="1">
      <c r="A90" s="93"/>
      <c r="B90" s="109"/>
      <c r="C90" s="109"/>
      <c r="D90" s="109"/>
      <c r="E90" s="109"/>
      <c r="F90" s="109"/>
      <c r="G90" s="339" t="s">
        <v>155</v>
      </c>
      <c r="H90" s="110"/>
    </row>
    <row r="91" spans="1:8" s="111" customFormat="1" ht="18.75" customHeight="1">
      <c r="A91" s="93"/>
      <c r="B91" s="109"/>
      <c r="C91" s="109"/>
      <c r="D91" s="109"/>
      <c r="E91" s="109"/>
      <c r="F91" s="109"/>
      <c r="G91" s="94"/>
      <c r="H91" s="110"/>
    </row>
    <row r="92" spans="1:8" s="111" customFormat="1" ht="18.75" customHeight="1">
      <c r="A92" s="93"/>
      <c r="B92" s="109"/>
      <c r="C92" s="109"/>
      <c r="D92" s="109"/>
      <c r="E92" s="109"/>
      <c r="F92" s="109"/>
      <c r="G92" s="94"/>
      <c r="H92" s="110"/>
    </row>
    <row r="93" spans="1:8" s="111" customFormat="1" ht="18.75" customHeight="1">
      <c r="A93" s="93"/>
      <c r="B93" s="109"/>
      <c r="C93" s="109"/>
      <c r="D93" s="109"/>
      <c r="E93" s="109"/>
      <c r="F93" s="109"/>
      <c r="G93" s="94"/>
      <c r="H93" s="110"/>
    </row>
    <row r="94" spans="1:8" s="111" customFormat="1" ht="18.75" customHeight="1">
      <c r="A94" s="93"/>
      <c r="B94" s="109"/>
      <c r="C94" s="109"/>
      <c r="D94" s="109"/>
      <c r="E94" s="109"/>
      <c r="F94" s="109"/>
      <c r="G94" s="94"/>
      <c r="H94" s="110"/>
    </row>
    <row r="95" spans="1:8" s="111" customFormat="1" ht="18.75" customHeight="1">
      <c r="A95" s="93"/>
      <c r="B95" s="109"/>
      <c r="C95" s="109"/>
      <c r="D95" s="109"/>
      <c r="E95" s="109"/>
      <c r="F95" s="109"/>
      <c r="G95" s="94"/>
      <c r="H95" s="110"/>
    </row>
    <row r="96" spans="1:8" s="111" customFormat="1" ht="18.75" customHeight="1">
      <c r="A96" s="93"/>
      <c r="B96" s="109"/>
      <c r="C96" s="109"/>
      <c r="D96" s="109"/>
      <c r="E96" s="109"/>
      <c r="F96" s="109"/>
      <c r="G96" s="94"/>
      <c r="H96" s="110"/>
    </row>
    <row r="97" spans="1:8" s="111" customFormat="1" ht="37.5" customHeight="1">
      <c r="A97" s="93"/>
      <c r="B97" s="109"/>
      <c r="C97" s="109"/>
      <c r="D97" s="109"/>
      <c r="E97" s="109"/>
      <c r="F97" s="109"/>
      <c r="G97" s="94"/>
      <c r="H97" s="110"/>
    </row>
    <row r="98" spans="1:8" s="111" customFormat="1" ht="18.75" customHeight="1">
      <c r="A98" s="93"/>
      <c r="B98" s="109"/>
      <c r="C98" s="109"/>
      <c r="D98" s="109"/>
      <c r="E98" s="109"/>
      <c r="F98" s="109"/>
      <c r="G98" s="94"/>
      <c r="H98" s="110"/>
    </row>
    <row r="99" spans="1:8" s="111" customFormat="1" ht="18.75" customHeight="1">
      <c r="A99" s="93"/>
      <c r="B99" s="109"/>
      <c r="C99" s="109"/>
      <c r="D99" s="109"/>
      <c r="E99" s="109"/>
      <c r="F99" s="109"/>
      <c r="G99" s="94"/>
      <c r="H99" s="110"/>
    </row>
    <row r="100" spans="1:8" s="111" customFormat="1" ht="18.75" customHeight="1">
      <c r="A100" s="93"/>
      <c r="B100" s="109"/>
      <c r="C100" s="109"/>
      <c r="D100" s="109"/>
      <c r="E100" s="109"/>
      <c r="F100" s="109"/>
      <c r="G100" s="94"/>
      <c r="H100" s="110"/>
    </row>
    <row r="101" spans="1:8" s="111" customFormat="1" ht="18.75" customHeight="1">
      <c r="A101" s="93"/>
      <c r="B101" s="109"/>
      <c r="C101" s="109"/>
      <c r="D101" s="109"/>
      <c r="E101" s="109"/>
      <c r="F101" s="109"/>
      <c r="G101" s="94"/>
      <c r="H101" s="110"/>
    </row>
    <row r="102" spans="1:8" s="111" customFormat="1" ht="18.75" customHeight="1">
      <c r="A102" s="93"/>
      <c r="B102" s="109"/>
      <c r="C102" s="109"/>
      <c r="D102" s="109"/>
      <c r="E102" s="109"/>
      <c r="F102" s="109"/>
      <c r="G102" s="94"/>
      <c r="H102" s="110"/>
    </row>
    <row r="103" spans="1:8" s="113" customFormat="1" ht="15.75">
      <c r="A103" s="93"/>
      <c r="B103" s="109"/>
      <c r="C103" s="109"/>
      <c r="D103" s="109"/>
      <c r="E103" s="109"/>
      <c r="F103" s="109"/>
      <c r="G103" s="94"/>
      <c r="H103" s="112"/>
    </row>
    <row r="106" ht="24.75" customHeight="1"/>
    <row r="107" ht="32.25" customHeight="1"/>
    <row r="108" ht="28.5" customHeight="1"/>
    <row r="109" ht="25.5" customHeight="1"/>
    <row r="110" spans="1:8" s="113" customFormat="1" ht="27" customHeight="1">
      <c r="A110" s="93"/>
      <c r="B110" s="109"/>
      <c r="C110" s="109"/>
      <c r="D110" s="109"/>
      <c r="E110" s="109"/>
      <c r="F110" s="109"/>
      <c r="G110" s="94"/>
      <c r="H110" s="112"/>
    </row>
    <row r="111" spans="1:8" s="113" customFormat="1" ht="15.75">
      <c r="A111" s="93"/>
      <c r="B111" s="109"/>
      <c r="C111" s="109"/>
      <c r="D111" s="109"/>
      <c r="E111" s="109"/>
      <c r="F111" s="109"/>
      <c r="G111" s="94"/>
      <c r="H111" s="112"/>
    </row>
    <row r="112" spans="1:8" s="113" customFormat="1" ht="36" customHeight="1">
      <c r="A112" s="93"/>
      <c r="B112" s="109"/>
      <c r="C112" s="109"/>
      <c r="D112" s="109"/>
      <c r="E112" s="109"/>
      <c r="F112" s="109"/>
      <c r="G112" s="94"/>
      <c r="H112" s="112"/>
    </row>
    <row r="113" spans="1:8" s="114" customFormat="1" ht="27" customHeight="1">
      <c r="A113" s="93"/>
      <c r="B113" s="109"/>
      <c r="C113" s="109"/>
      <c r="D113" s="109"/>
      <c r="E113" s="109"/>
      <c r="F113" s="109"/>
      <c r="G113" s="94"/>
      <c r="H113" s="340"/>
    </row>
    <row r="114" spans="1:8" s="111" customFormat="1" ht="24" customHeight="1">
      <c r="A114" s="93"/>
      <c r="B114" s="109"/>
      <c r="C114" s="109"/>
      <c r="D114" s="109"/>
      <c r="E114" s="109"/>
      <c r="F114" s="109"/>
      <c r="G114" s="94"/>
      <c r="H114" s="110"/>
    </row>
    <row r="115" spans="1:8" s="111" customFormat="1" ht="25.5" customHeight="1">
      <c r="A115" s="93"/>
      <c r="B115" s="109"/>
      <c r="C115" s="109"/>
      <c r="D115" s="109"/>
      <c r="E115" s="109"/>
      <c r="F115" s="109"/>
      <c r="G115" s="94"/>
      <c r="H115" s="110"/>
    </row>
    <row r="116" spans="1:8" s="111" customFormat="1" ht="21.75" customHeight="1">
      <c r="A116" s="93"/>
      <c r="B116" s="109"/>
      <c r="C116" s="109"/>
      <c r="D116" s="109"/>
      <c r="E116" s="109"/>
      <c r="F116" s="109"/>
      <c r="G116" s="94"/>
      <c r="H116" s="110"/>
    </row>
    <row r="117" spans="1:8" s="111" customFormat="1" ht="31.5" customHeight="1">
      <c r="A117" s="93"/>
      <c r="B117" s="109"/>
      <c r="C117" s="109"/>
      <c r="D117" s="109"/>
      <c r="E117" s="109"/>
      <c r="F117" s="109"/>
      <c r="G117" s="94"/>
      <c r="H117" s="110"/>
    </row>
    <row r="118" spans="1:8" s="111" customFormat="1" ht="21.75" customHeight="1">
      <c r="A118" s="93"/>
      <c r="B118" s="109"/>
      <c r="C118" s="109"/>
      <c r="D118" s="109"/>
      <c r="E118" s="109"/>
      <c r="F118" s="109"/>
      <c r="G118" s="94"/>
      <c r="H118" s="110"/>
    </row>
    <row r="119" spans="1:8" s="116" customFormat="1" ht="29.25" customHeight="1">
      <c r="A119" s="93"/>
      <c r="B119" s="109"/>
      <c r="C119" s="109"/>
      <c r="D119" s="109"/>
      <c r="E119" s="109"/>
      <c r="F119" s="109"/>
      <c r="G119" s="94"/>
      <c r="H119" s="115"/>
    </row>
    <row r="121" ht="33.75" customHeight="1"/>
    <row r="122" ht="78" customHeight="1"/>
    <row r="123" ht="22.5" customHeight="1"/>
    <row r="124" ht="60.75" customHeight="1"/>
    <row r="125" ht="24" customHeight="1"/>
    <row r="129" ht="24" customHeight="1"/>
    <row r="130" ht="42" customHeight="1"/>
    <row r="131" ht="80.25" customHeight="1"/>
    <row r="132" ht="25.5" customHeight="1"/>
    <row r="133" ht="40.5" customHeight="1"/>
    <row r="134" ht="78" customHeight="1"/>
    <row r="135" ht="32.25" customHeight="1"/>
    <row r="136" ht="39" customHeight="1"/>
    <row r="137" ht="32.25" customHeight="1"/>
    <row r="138" ht="59.25" customHeight="1"/>
    <row r="139" ht="24" customHeight="1"/>
    <row r="140" ht="24" customHeight="1"/>
    <row r="141" ht="36.75" customHeight="1"/>
    <row r="142" ht="56.25" customHeight="1"/>
    <row r="143" ht="24" customHeight="1"/>
    <row r="146" ht="43.5" customHeight="1"/>
    <row r="148" ht="39.75" customHeight="1"/>
    <row r="149" ht="40.5" customHeight="1"/>
    <row r="150" ht="41.25" customHeight="1"/>
    <row r="151" ht="41.25" customHeight="1"/>
    <row r="153" ht="39.75" customHeight="1"/>
    <row r="154" ht="39.75" customHeight="1"/>
    <row r="155" ht="24.75" customHeight="1"/>
    <row r="156" ht="37.5" customHeight="1"/>
    <row r="157" ht="39.75" customHeight="1"/>
    <row r="158" ht="42" customHeight="1"/>
    <row r="159" ht="23.25" customHeight="1"/>
    <row r="160" ht="58.5" customHeight="1"/>
    <row r="161" ht="38.25" customHeight="1"/>
    <row r="162" ht="75" customHeight="1"/>
    <row r="163" ht="27.75" customHeight="1"/>
    <row r="164" ht="40.5" customHeight="1"/>
    <row r="165" ht="62.25" customHeight="1"/>
    <row r="166" ht="41.25" customHeight="1"/>
    <row r="167" ht="40.5" customHeight="1"/>
    <row r="168" ht="75.75" customHeight="1"/>
    <row r="169" ht="22.5" customHeight="1"/>
    <row r="170" ht="25.5" customHeight="1"/>
    <row r="171" ht="37.5" customHeight="1"/>
    <row r="172" spans="1:8" s="116" customFormat="1" ht="60.75" customHeight="1">
      <c r="A172" s="93"/>
      <c r="B172" s="109"/>
      <c r="C172" s="109"/>
      <c r="D172" s="109"/>
      <c r="E172" s="109"/>
      <c r="F172" s="109"/>
      <c r="G172" s="94"/>
      <c r="H172" s="115"/>
    </row>
    <row r="173" spans="1:8" s="111" customFormat="1" ht="24" customHeight="1">
      <c r="A173" s="93"/>
      <c r="B173" s="109"/>
      <c r="C173" s="109"/>
      <c r="D173" s="109"/>
      <c r="E173" s="109"/>
      <c r="F173" s="109"/>
      <c r="G173" s="94"/>
      <c r="H173" s="110"/>
    </row>
    <row r="174" spans="1:8" s="111" customFormat="1" ht="79.5" customHeight="1">
      <c r="A174" s="93"/>
      <c r="B174" s="109"/>
      <c r="C174" s="109"/>
      <c r="D174" s="109"/>
      <c r="E174" s="109"/>
      <c r="F174" s="109"/>
      <c r="G174" s="94"/>
      <c r="H174" s="110"/>
    </row>
    <row r="175" spans="1:8" s="111" customFormat="1" ht="41.25" customHeight="1">
      <c r="A175" s="93"/>
      <c r="B175" s="109"/>
      <c r="C175" s="109"/>
      <c r="D175" s="109"/>
      <c r="E175" s="109"/>
      <c r="F175" s="109"/>
      <c r="G175" s="94"/>
      <c r="H175" s="110"/>
    </row>
    <row r="176" spans="1:8" s="111" customFormat="1" ht="37.5" customHeight="1">
      <c r="A176" s="93"/>
      <c r="B176" s="109"/>
      <c r="C176" s="109"/>
      <c r="D176" s="109"/>
      <c r="E176" s="109"/>
      <c r="F176" s="109"/>
      <c r="G176" s="94"/>
      <c r="H176" s="110"/>
    </row>
    <row r="177" spans="1:8" s="111" customFormat="1" ht="22.5" customHeight="1">
      <c r="A177" s="93"/>
      <c r="B177" s="109"/>
      <c r="C177" s="109"/>
      <c r="D177" s="109"/>
      <c r="E177" s="109"/>
      <c r="F177" s="109"/>
      <c r="G177" s="94"/>
      <c r="H177" s="110"/>
    </row>
    <row r="178" spans="1:8" s="111" customFormat="1" ht="24.75" customHeight="1">
      <c r="A178" s="93"/>
      <c r="B178" s="109"/>
      <c r="C178" s="109"/>
      <c r="D178" s="109"/>
      <c r="E178" s="109"/>
      <c r="F178" s="109"/>
      <c r="G178" s="94"/>
      <c r="H178" s="110"/>
    </row>
    <row r="179" spans="1:8" s="111" customFormat="1" ht="21.75" customHeight="1">
      <c r="A179" s="93"/>
      <c r="B179" s="109"/>
      <c r="C179" s="109"/>
      <c r="D179" s="109"/>
      <c r="E179" s="109"/>
      <c r="F179" s="109"/>
      <c r="G179" s="94"/>
      <c r="H179" s="110"/>
    </row>
    <row r="180" spans="1:8" s="111" customFormat="1" ht="44.25" customHeight="1">
      <c r="A180" s="93"/>
      <c r="B180" s="109"/>
      <c r="C180" s="109"/>
      <c r="D180" s="109"/>
      <c r="E180" s="109"/>
      <c r="F180" s="109"/>
      <c r="G180" s="94"/>
      <c r="H180" s="110"/>
    </row>
    <row r="181" spans="1:8" s="111" customFormat="1" ht="44.25" customHeight="1">
      <c r="A181" s="93"/>
      <c r="B181" s="109"/>
      <c r="C181" s="109"/>
      <c r="D181" s="109"/>
      <c r="E181" s="109"/>
      <c r="F181" s="109"/>
      <c r="G181" s="94"/>
      <c r="H181" s="110"/>
    </row>
    <row r="182" spans="1:8" s="111" customFormat="1" ht="40.5" customHeight="1">
      <c r="A182" s="93"/>
      <c r="B182" s="109"/>
      <c r="C182" s="109"/>
      <c r="D182" s="109"/>
      <c r="E182" s="109"/>
      <c r="F182" s="109"/>
      <c r="G182" s="94"/>
      <c r="H182" s="110"/>
    </row>
    <row r="183" spans="1:8" s="111" customFormat="1" ht="41.25" customHeight="1">
      <c r="A183" s="93"/>
      <c r="B183" s="109"/>
      <c r="C183" s="109"/>
      <c r="D183" s="109"/>
      <c r="E183" s="109"/>
      <c r="F183" s="109"/>
      <c r="G183" s="94"/>
      <c r="H183" s="110"/>
    </row>
    <row r="184" spans="1:8" s="111" customFormat="1" ht="41.25" customHeight="1">
      <c r="A184" s="93"/>
      <c r="B184" s="109"/>
      <c r="C184" s="109"/>
      <c r="D184" s="109"/>
      <c r="E184" s="109"/>
      <c r="F184" s="109"/>
      <c r="G184" s="94"/>
      <c r="H184" s="110"/>
    </row>
    <row r="185" spans="1:8" s="111" customFormat="1" ht="41.25" customHeight="1">
      <c r="A185" s="93"/>
      <c r="B185" s="109"/>
      <c r="C185" s="109"/>
      <c r="D185" s="109"/>
      <c r="E185" s="109"/>
      <c r="F185" s="109"/>
      <c r="G185" s="94"/>
      <c r="H185" s="110"/>
    </row>
    <row r="186" spans="1:8" s="111" customFormat="1" ht="40.5" customHeight="1">
      <c r="A186" s="93"/>
      <c r="B186" s="109"/>
      <c r="C186" s="109"/>
      <c r="D186" s="109"/>
      <c r="E186" s="109"/>
      <c r="F186" s="109"/>
      <c r="G186" s="94"/>
      <c r="H186" s="110"/>
    </row>
    <row r="187" spans="1:8" s="111" customFormat="1" ht="40.5" customHeight="1">
      <c r="A187" s="93"/>
      <c r="B187" s="109"/>
      <c r="C187" s="109"/>
      <c r="D187" s="109"/>
      <c r="E187" s="109"/>
      <c r="F187" s="109"/>
      <c r="G187" s="94"/>
      <c r="H187" s="110"/>
    </row>
    <row r="188" spans="1:8" s="111" customFormat="1" ht="77.25" customHeight="1">
      <c r="A188" s="93"/>
      <c r="B188" s="109"/>
      <c r="C188" s="109"/>
      <c r="D188" s="109"/>
      <c r="E188" s="109"/>
      <c r="F188" s="109"/>
      <c r="G188" s="94"/>
      <c r="H188" s="110"/>
    </row>
    <row r="189" spans="1:8" s="111" customFormat="1" ht="60" customHeight="1">
      <c r="A189" s="93"/>
      <c r="B189" s="109"/>
      <c r="C189" s="109"/>
      <c r="D189" s="109"/>
      <c r="E189" s="109"/>
      <c r="F189" s="109"/>
      <c r="G189" s="94"/>
      <c r="H189" s="110"/>
    </row>
    <row r="190" spans="1:8" s="111" customFormat="1" ht="22.5" customHeight="1">
      <c r="A190" s="93"/>
      <c r="B190" s="109"/>
      <c r="C190" s="109"/>
      <c r="D190" s="109"/>
      <c r="E190" s="109"/>
      <c r="F190" s="109"/>
      <c r="G190" s="94"/>
      <c r="H190" s="110"/>
    </row>
    <row r="191" spans="1:8" s="111" customFormat="1" ht="60" customHeight="1">
      <c r="A191" s="93"/>
      <c r="B191" s="109"/>
      <c r="C191" s="109"/>
      <c r="D191" s="109"/>
      <c r="E191" s="109"/>
      <c r="F191" s="109"/>
      <c r="G191" s="94"/>
      <c r="H191" s="110"/>
    </row>
    <row r="192" spans="1:8" s="111" customFormat="1" ht="21.75" customHeight="1">
      <c r="A192" s="93"/>
      <c r="B192" s="109"/>
      <c r="C192" s="109"/>
      <c r="D192" s="109"/>
      <c r="E192" s="109"/>
      <c r="F192" s="109"/>
      <c r="G192" s="94"/>
      <c r="H192" s="110"/>
    </row>
    <row r="193" spans="1:8" s="113" customFormat="1" ht="60.75" customHeight="1">
      <c r="A193" s="93"/>
      <c r="B193" s="109"/>
      <c r="C193" s="109"/>
      <c r="D193" s="109"/>
      <c r="E193" s="109"/>
      <c r="F193" s="109"/>
      <c r="G193" s="94"/>
      <c r="H193" s="112"/>
    </row>
    <row r="195" ht="22.5" customHeight="1"/>
    <row r="196" ht="66.75" customHeight="1"/>
    <row r="197" ht="22.5" customHeight="1"/>
    <row r="198" ht="57" customHeight="1"/>
    <row r="199" ht="22.5" customHeight="1"/>
    <row r="200" spans="1:8" s="113" customFormat="1" ht="60" customHeight="1">
      <c r="A200" s="93"/>
      <c r="B200" s="109"/>
      <c r="C200" s="109"/>
      <c r="D200" s="109"/>
      <c r="E200" s="109"/>
      <c r="F200" s="109"/>
      <c r="G200" s="94"/>
      <c r="H200" s="112"/>
    </row>
    <row r="203" ht="20.25" customHeight="1"/>
    <row r="204" ht="20.25" customHeight="1"/>
    <row r="205" ht="20.25" customHeight="1"/>
    <row r="210" ht="42.75" customHeight="1"/>
    <row r="212" ht="51" customHeight="1"/>
    <row r="214" spans="1:8" s="113" customFormat="1" ht="62.25" customHeight="1">
      <c r="A214" s="93"/>
      <c r="B214" s="109"/>
      <c r="C214" s="109"/>
      <c r="D214" s="109"/>
      <c r="E214" s="109"/>
      <c r="F214" s="109"/>
      <c r="G214" s="94"/>
      <c r="H214" s="112"/>
    </row>
    <row r="215" ht="23.25" customHeight="1"/>
    <row r="216" ht="38.25" customHeight="1"/>
    <row r="218" spans="1:8" s="113" customFormat="1" ht="60.75" customHeight="1">
      <c r="A218" s="93"/>
      <c r="B218" s="109"/>
      <c r="C218" s="109"/>
      <c r="D218" s="109"/>
      <c r="E218" s="109"/>
      <c r="F218" s="109"/>
      <c r="G218" s="94"/>
      <c r="H218" s="112"/>
    </row>
    <row r="219" ht="23.25" customHeight="1"/>
    <row r="221" spans="1:8" s="116" customFormat="1" ht="15.75">
      <c r="A221" s="93"/>
      <c r="B221" s="109"/>
      <c r="C221" s="109"/>
      <c r="D221" s="109"/>
      <c r="E221" s="109"/>
      <c r="F221" s="109"/>
      <c r="G221" s="94"/>
      <c r="H221" s="115"/>
    </row>
    <row r="222" spans="1:8" s="111" customFormat="1" ht="22.5" customHeight="1">
      <c r="A222" s="93"/>
      <c r="B222" s="109"/>
      <c r="C222" s="109"/>
      <c r="D222" s="109"/>
      <c r="E222" s="109"/>
      <c r="F222" s="109"/>
      <c r="G222" s="94"/>
      <c r="H222" s="110"/>
    </row>
    <row r="223" spans="1:8" s="111" customFormat="1" ht="60.75" customHeight="1">
      <c r="A223" s="93"/>
      <c r="B223" s="109"/>
      <c r="C223" s="109"/>
      <c r="D223" s="109"/>
      <c r="E223" s="109"/>
      <c r="F223" s="109"/>
      <c r="G223" s="94"/>
      <c r="H223" s="110"/>
    </row>
    <row r="224" spans="1:8" s="111" customFormat="1" ht="77.25" customHeight="1">
      <c r="A224" s="93"/>
      <c r="B224" s="109"/>
      <c r="C224" s="109"/>
      <c r="D224" s="109"/>
      <c r="E224" s="109"/>
      <c r="F224" s="109"/>
      <c r="G224" s="94"/>
      <c r="H224" s="110"/>
    </row>
    <row r="225" spans="1:8" s="111" customFormat="1" ht="23.25" customHeight="1">
      <c r="A225" s="93"/>
      <c r="B225" s="109"/>
      <c r="C225" s="109"/>
      <c r="D225" s="109"/>
      <c r="E225" s="109"/>
      <c r="F225" s="109"/>
      <c r="G225" s="94"/>
      <c r="H225" s="110"/>
    </row>
    <row r="226" spans="1:8" s="111" customFormat="1" ht="57.75" customHeight="1">
      <c r="A226" s="93"/>
      <c r="B226" s="109"/>
      <c r="C226" s="109"/>
      <c r="D226" s="109"/>
      <c r="E226" s="109"/>
      <c r="F226" s="109"/>
      <c r="G226" s="94"/>
      <c r="H226" s="110"/>
    </row>
    <row r="227" spans="1:8" s="111" customFormat="1" ht="77.25" customHeight="1">
      <c r="A227" s="93"/>
      <c r="B227" s="109"/>
      <c r="C227" s="109"/>
      <c r="D227" s="109"/>
      <c r="E227" s="109"/>
      <c r="F227" s="109"/>
      <c r="G227" s="94"/>
      <c r="H227" s="110"/>
    </row>
    <row r="228" spans="1:8" s="111" customFormat="1" ht="25.5" customHeight="1">
      <c r="A228" s="93"/>
      <c r="B228" s="109"/>
      <c r="C228" s="109"/>
      <c r="D228" s="109"/>
      <c r="E228" s="109"/>
      <c r="F228" s="109"/>
      <c r="G228" s="94"/>
      <c r="H228" s="110"/>
    </row>
    <row r="229" spans="1:8" s="111" customFormat="1" ht="56.25" customHeight="1">
      <c r="A229" s="93"/>
      <c r="B229" s="109"/>
      <c r="C229" s="109"/>
      <c r="D229" s="109"/>
      <c r="E229" s="109"/>
      <c r="F229" s="109"/>
      <c r="G229" s="94"/>
      <c r="H229" s="110"/>
    </row>
    <row r="230" spans="1:8" s="111" customFormat="1" ht="60" customHeight="1">
      <c r="A230" s="93"/>
      <c r="B230" s="109"/>
      <c r="C230" s="109"/>
      <c r="D230" s="109"/>
      <c r="E230" s="109"/>
      <c r="F230" s="109"/>
      <c r="G230" s="94"/>
      <c r="H230" s="110"/>
    </row>
    <row r="231" spans="1:8" s="111" customFormat="1" ht="75.75" customHeight="1">
      <c r="A231" s="93"/>
      <c r="B231" s="109"/>
      <c r="C231" s="109"/>
      <c r="D231" s="109"/>
      <c r="E231" s="109"/>
      <c r="F231" s="109"/>
      <c r="G231" s="94"/>
      <c r="H231" s="110"/>
    </row>
    <row r="232" spans="1:8" s="111" customFormat="1" ht="23.25" customHeight="1">
      <c r="A232" s="93"/>
      <c r="B232" s="109"/>
      <c r="C232" s="109"/>
      <c r="D232" s="109"/>
      <c r="E232" s="109"/>
      <c r="F232" s="109"/>
      <c r="G232" s="94"/>
      <c r="H232" s="110"/>
    </row>
    <row r="233" spans="1:8" s="111" customFormat="1" ht="40.5" customHeight="1">
      <c r="A233" s="93"/>
      <c r="B233" s="109"/>
      <c r="C233" s="109"/>
      <c r="D233" s="109"/>
      <c r="E233" s="109"/>
      <c r="F233" s="109"/>
      <c r="G233" s="94"/>
      <c r="H233" s="110"/>
    </row>
    <row r="234" spans="1:8" s="111" customFormat="1" ht="75.75" customHeight="1">
      <c r="A234" s="93"/>
      <c r="B234" s="109"/>
      <c r="C234" s="109"/>
      <c r="D234" s="109"/>
      <c r="E234" s="109"/>
      <c r="F234" s="109"/>
      <c r="G234" s="94"/>
      <c r="H234" s="110"/>
    </row>
    <row r="235" spans="1:8" s="111" customFormat="1" ht="23.25" customHeight="1">
      <c r="A235" s="93"/>
      <c r="B235" s="109"/>
      <c r="C235" s="109"/>
      <c r="D235" s="109"/>
      <c r="E235" s="109"/>
      <c r="F235" s="109"/>
      <c r="G235" s="94"/>
      <c r="H235" s="110"/>
    </row>
    <row r="236" spans="1:8" s="111" customFormat="1" ht="55.5" customHeight="1">
      <c r="A236" s="93"/>
      <c r="B236" s="109"/>
      <c r="C236" s="109"/>
      <c r="D236" s="109"/>
      <c r="E236" s="109"/>
      <c r="F236" s="109"/>
      <c r="G236" s="94"/>
      <c r="H236" s="110"/>
    </row>
    <row r="237" spans="1:8" s="111" customFormat="1" ht="26.25" customHeight="1">
      <c r="A237" s="93"/>
      <c r="B237" s="109"/>
      <c r="C237" s="109"/>
      <c r="D237" s="109"/>
      <c r="E237" s="109"/>
      <c r="F237" s="109"/>
      <c r="G237" s="94"/>
      <c r="H237" s="110"/>
    </row>
    <row r="238" spans="1:8" s="111" customFormat="1" ht="76.5" customHeight="1">
      <c r="A238" s="93"/>
      <c r="B238" s="109"/>
      <c r="C238" s="109"/>
      <c r="D238" s="109"/>
      <c r="E238" s="109"/>
      <c r="F238" s="109"/>
      <c r="G238" s="94"/>
      <c r="H238" s="110"/>
    </row>
    <row r="239" spans="1:8" s="111" customFormat="1" ht="21.75" customHeight="1">
      <c r="A239" s="93"/>
      <c r="B239" s="109"/>
      <c r="C239" s="109"/>
      <c r="D239" s="109"/>
      <c r="E239" s="109"/>
      <c r="F239" s="109"/>
      <c r="G239" s="94"/>
      <c r="H239" s="110"/>
    </row>
    <row r="240" spans="1:8" s="113" customFormat="1" ht="60.75" customHeight="1">
      <c r="A240" s="93"/>
      <c r="B240" s="109"/>
      <c r="C240" s="109"/>
      <c r="D240" s="109"/>
      <c r="E240" s="109"/>
      <c r="F240" s="109"/>
      <c r="G240" s="94"/>
      <c r="H240" s="112"/>
    </row>
    <row r="242" ht="41.25" customHeight="1"/>
    <row r="243" ht="41.25" customHeight="1"/>
    <row r="244" ht="41.25" customHeight="1"/>
    <row r="245" ht="41.25" customHeight="1"/>
    <row r="246" spans="1:8" s="116" customFormat="1" ht="41.25" customHeight="1">
      <c r="A246" s="93"/>
      <c r="B246" s="109"/>
      <c r="C246" s="109"/>
      <c r="D246" s="109"/>
      <c r="E246" s="109"/>
      <c r="F246" s="109"/>
      <c r="G246" s="94"/>
      <c r="H246" s="115"/>
    </row>
    <row r="247" spans="1:8" s="111" customFormat="1" ht="22.5" customHeight="1">
      <c r="A247" s="93"/>
      <c r="B247" s="109"/>
      <c r="C247" s="109"/>
      <c r="D247" s="109"/>
      <c r="E247" s="109"/>
      <c r="F247" s="109"/>
      <c r="G247" s="94"/>
      <c r="H247" s="110"/>
    </row>
    <row r="248" spans="1:8" s="111" customFormat="1" ht="40.5" customHeight="1">
      <c r="A248" s="93"/>
      <c r="B248" s="109"/>
      <c r="C248" s="109"/>
      <c r="D248" s="109"/>
      <c r="E248" s="109"/>
      <c r="F248" s="109"/>
      <c r="G248" s="94"/>
      <c r="H248" s="110"/>
    </row>
    <row r="249" spans="1:8" s="111" customFormat="1" ht="41.25" customHeight="1">
      <c r="A249" s="93"/>
      <c r="B249" s="109"/>
      <c r="C249" s="109"/>
      <c r="D249" s="109"/>
      <c r="E249" s="109"/>
      <c r="F249" s="109"/>
      <c r="G249" s="94"/>
      <c r="H249" s="110"/>
    </row>
    <row r="250" spans="1:8" s="111" customFormat="1" ht="41.25" customHeight="1">
      <c r="A250" s="93"/>
      <c r="B250" s="109"/>
      <c r="C250" s="109"/>
      <c r="D250" s="109"/>
      <c r="E250" s="109"/>
      <c r="F250" s="109"/>
      <c r="G250" s="94"/>
      <c r="H250" s="110"/>
    </row>
    <row r="251" spans="1:8" s="111" customFormat="1" ht="39" customHeight="1">
      <c r="A251" s="93"/>
      <c r="B251" s="109"/>
      <c r="C251" s="109"/>
      <c r="D251" s="109"/>
      <c r="E251" s="109"/>
      <c r="F251" s="109"/>
      <c r="G251" s="94"/>
      <c r="H251" s="110"/>
    </row>
    <row r="252" spans="1:8" s="111" customFormat="1" ht="39.75" customHeight="1">
      <c r="A252" s="93"/>
      <c r="B252" s="109"/>
      <c r="C252" s="109"/>
      <c r="D252" s="109"/>
      <c r="E252" s="109"/>
      <c r="F252" s="109"/>
      <c r="G252" s="94"/>
      <c r="H252" s="110"/>
    </row>
    <row r="253" spans="1:8" s="111" customFormat="1" ht="39" customHeight="1">
      <c r="A253" s="93"/>
      <c r="B253" s="109"/>
      <c r="C253" s="109"/>
      <c r="D253" s="109"/>
      <c r="E253" s="109"/>
      <c r="F253" s="109"/>
      <c r="G253" s="94"/>
      <c r="H253" s="110"/>
    </row>
    <row r="254" spans="1:8" s="111" customFormat="1" ht="39.75" customHeight="1">
      <c r="A254" s="93"/>
      <c r="B254" s="109"/>
      <c r="C254" s="109"/>
      <c r="D254" s="109"/>
      <c r="E254" s="109"/>
      <c r="F254" s="109"/>
      <c r="G254" s="94"/>
      <c r="H254" s="110"/>
    </row>
    <row r="255" spans="1:8" s="111" customFormat="1" ht="75.75" customHeight="1">
      <c r="A255" s="93"/>
      <c r="B255" s="109"/>
      <c r="C255" s="109"/>
      <c r="D255" s="109"/>
      <c r="E255" s="109"/>
      <c r="F255" s="109"/>
      <c r="G255" s="94"/>
      <c r="H255" s="110"/>
    </row>
    <row r="256" spans="1:8" s="111" customFormat="1" ht="39.75" customHeight="1">
      <c r="A256" s="93"/>
      <c r="B256" s="109"/>
      <c r="C256" s="109"/>
      <c r="D256" s="109"/>
      <c r="E256" s="109"/>
      <c r="F256" s="109"/>
      <c r="G256" s="94"/>
      <c r="H256" s="110"/>
    </row>
    <row r="257" spans="1:8" s="111" customFormat="1" ht="15.75">
      <c r="A257" s="93"/>
      <c r="B257" s="109"/>
      <c r="C257" s="109"/>
      <c r="D257" s="109"/>
      <c r="E257" s="109"/>
      <c r="F257" s="109"/>
      <c r="G257" s="94"/>
      <c r="H257" s="110"/>
    </row>
    <row r="258" spans="1:8" s="111" customFormat="1" ht="39.75" customHeight="1">
      <c r="A258" s="93"/>
      <c r="B258" s="109"/>
      <c r="C258" s="109"/>
      <c r="D258" s="109"/>
      <c r="E258" s="109"/>
      <c r="F258" s="109"/>
      <c r="G258" s="94"/>
      <c r="H258" s="110"/>
    </row>
    <row r="259" spans="1:8" s="111" customFormat="1" ht="40.5" customHeight="1">
      <c r="A259" s="93"/>
      <c r="B259" s="109"/>
      <c r="C259" s="109"/>
      <c r="D259" s="109"/>
      <c r="E259" s="109"/>
      <c r="F259" s="109"/>
      <c r="G259" s="94"/>
      <c r="H259" s="110"/>
    </row>
    <row r="260" spans="1:8" s="111" customFormat="1" ht="41.25" customHeight="1">
      <c r="A260" s="93"/>
      <c r="B260" s="109"/>
      <c r="C260" s="109"/>
      <c r="D260" s="109"/>
      <c r="E260" s="109"/>
      <c r="F260" s="109"/>
      <c r="G260" s="94"/>
      <c r="H260" s="110"/>
    </row>
    <row r="261" spans="1:8" s="111" customFormat="1" ht="23.25" customHeight="1">
      <c r="A261" s="93"/>
      <c r="B261" s="109"/>
      <c r="C261" s="109"/>
      <c r="D261" s="109"/>
      <c r="E261" s="109"/>
      <c r="F261" s="109"/>
      <c r="G261" s="94"/>
      <c r="H261" s="110"/>
    </row>
    <row r="262" spans="1:8" s="111" customFormat="1" ht="38.25" customHeight="1">
      <c r="A262" s="93"/>
      <c r="B262" s="109"/>
      <c r="C262" s="109"/>
      <c r="D262" s="109"/>
      <c r="E262" s="109"/>
      <c r="F262" s="109"/>
      <c r="G262" s="94"/>
      <c r="H262" s="110"/>
    </row>
    <row r="263" spans="1:8" s="111" customFormat="1" ht="25.5" customHeight="1">
      <c r="A263" s="93"/>
      <c r="B263" s="109"/>
      <c r="C263" s="109"/>
      <c r="D263" s="109"/>
      <c r="E263" s="109"/>
      <c r="F263" s="109"/>
      <c r="G263" s="94"/>
      <c r="H263" s="110"/>
    </row>
    <row r="264" spans="1:8" s="111" customFormat="1" ht="57" customHeight="1">
      <c r="A264" s="93"/>
      <c r="B264" s="109"/>
      <c r="C264" s="109"/>
      <c r="D264" s="109"/>
      <c r="E264" s="109"/>
      <c r="F264" s="109"/>
      <c r="G264" s="94"/>
      <c r="H264" s="110"/>
    </row>
    <row r="265" spans="1:8" s="111" customFormat="1" ht="25.5" customHeight="1">
      <c r="A265" s="93"/>
      <c r="B265" s="109"/>
      <c r="C265" s="109"/>
      <c r="D265" s="109"/>
      <c r="E265" s="109"/>
      <c r="F265" s="109"/>
      <c r="G265" s="94"/>
      <c r="H265" s="110"/>
    </row>
    <row r="266" spans="1:8" s="111" customFormat="1" ht="61.5" customHeight="1">
      <c r="A266" s="93"/>
      <c r="B266" s="109"/>
      <c r="C266" s="109"/>
      <c r="D266" s="109"/>
      <c r="E266" s="109"/>
      <c r="F266" s="109"/>
      <c r="G266" s="94"/>
      <c r="H266" s="110"/>
    </row>
    <row r="267" spans="1:8" s="111" customFormat="1" ht="44.25" customHeight="1">
      <c r="A267" s="93"/>
      <c r="B267" s="109"/>
      <c r="C267" s="109"/>
      <c r="D267" s="109"/>
      <c r="E267" s="109"/>
      <c r="F267" s="109"/>
      <c r="G267" s="94"/>
      <c r="H267" s="110"/>
    </row>
    <row r="268" spans="1:8" s="111" customFormat="1" ht="44.25" customHeight="1">
      <c r="A268" s="93"/>
      <c r="B268" s="109"/>
      <c r="C268" s="109"/>
      <c r="D268" s="109"/>
      <c r="E268" s="109"/>
      <c r="F268" s="109"/>
      <c r="G268" s="94"/>
      <c r="H268" s="110"/>
    </row>
    <row r="269" spans="1:8" s="111" customFormat="1" ht="44.25" customHeight="1">
      <c r="A269" s="93"/>
      <c r="B269" s="109"/>
      <c r="C269" s="109"/>
      <c r="D269" s="109"/>
      <c r="E269" s="109"/>
      <c r="F269" s="109"/>
      <c r="G269" s="94"/>
      <c r="H269" s="110"/>
    </row>
    <row r="270" spans="1:8" s="117" customFormat="1" ht="18.75">
      <c r="A270" s="93"/>
      <c r="B270" s="109"/>
      <c r="C270" s="109"/>
      <c r="D270" s="109"/>
      <c r="E270" s="109"/>
      <c r="F270" s="109"/>
      <c r="G270" s="94"/>
      <c r="H270" s="95"/>
    </row>
  </sheetData>
  <sheetProtection/>
  <mergeCells count="7">
    <mergeCell ref="A9:H9"/>
    <mergeCell ref="A10:H10"/>
    <mergeCell ref="G2:I2"/>
    <mergeCell ref="G3:K3"/>
    <mergeCell ref="G4:J4"/>
    <mergeCell ref="G5:I5"/>
    <mergeCell ref="G6:K6"/>
  </mergeCells>
  <printOptions/>
  <pageMargins left="0.76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L31"/>
  <sheetViews>
    <sheetView zoomScale="75" zoomScaleNormal="75" workbookViewId="0" topLeftCell="A1">
      <selection activeCell="E36" sqref="E36"/>
    </sheetView>
  </sheetViews>
  <sheetFormatPr defaultColWidth="11.625" defaultRowHeight="12.75"/>
  <cols>
    <col min="1" max="1" width="71.625" style="28" customWidth="1"/>
    <col min="2" max="2" width="18.25390625" style="282" customWidth="1"/>
    <col min="3" max="3" width="17.625" style="28" customWidth="1"/>
    <col min="4" max="16384" width="11.625" style="28" customWidth="1"/>
  </cols>
  <sheetData>
    <row r="1" spans="1:12" ht="17.25" customHeight="1">
      <c r="A1" s="90"/>
      <c r="B1" s="272" t="s">
        <v>74</v>
      </c>
      <c r="C1" s="119"/>
      <c r="D1" s="119"/>
      <c r="E1" s="119"/>
      <c r="F1" s="119"/>
      <c r="G1" s="119"/>
      <c r="H1" s="119"/>
      <c r="I1" s="119"/>
      <c r="J1" s="119"/>
      <c r="K1" s="161"/>
      <c r="L1" s="161"/>
    </row>
    <row r="2" spans="1:12" ht="14.25" customHeight="1">
      <c r="A2" s="92"/>
      <c r="B2" s="272" t="s">
        <v>349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14.25" customHeight="1">
      <c r="A3" s="92"/>
      <c r="B3" s="398" t="s">
        <v>350</v>
      </c>
      <c r="C3" s="356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15">
      <c r="A4" s="90"/>
      <c r="B4" s="304" t="s">
        <v>75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2" ht="15">
      <c r="A5" s="90"/>
      <c r="B5" s="304" t="s">
        <v>251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1:3" ht="12.75" customHeight="1" hidden="1">
      <c r="A6" s="90"/>
      <c r="B6" s="395"/>
      <c r="C6" s="395"/>
    </row>
    <row r="7" spans="1:3" ht="15.75" hidden="1">
      <c r="A7" s="90"/>
      <c r="B7" s="397"/>
      <c r="C7" s="397"/>
    </row>
    <row r="8" spans="1:3" ht="15.75" hidden="1">
      <c r="A8" s="90"/>
      <c r="B8" s="397"/>
      <c r="C8" s="397"/>
    </row>
    <row r="9" spans="1:3" ht="19.5" customHeight="1" hidden="1">
      <c r="A9" s="90"/>
      <c r="B9" s="395"/>
      <c r="C9" s="395"/>
    </row>
    <row r="10" spans="1:3" ht="15.75" hidden="1">
      <c r="A10" s="90"/>
      <c r="B10" s="305"/>
      <c r="C10" s="91"/>
    </row>
    <row r="11" spans="1:3" ht="15.75">
      <c r="A11" s="90"/>
      <c r="B11" s="305"/>
      <c r="C11" s="91"/>
    </row>
    <row r="12" spans="1:3" ht="15">
      <c r="A12" s="90"/>
      <c r="B12" s="306"/>
      <c r="C12" s="90"/>
    </row>
    <row r="13" spans="1:3" ht="41.25" customHeight="1">
      <c r="A13" s="396" t="s">
        <v>355</v>
      </c>
      <c r="B13" s="396"/>
      <c r="C13" s="396"/>
    </row>
    <row r="14" spans="1:2" ht="15">
      <c r="A14" s="90"/>
      <c r="B14" s="306"/>
    </row>
    <row r="15" spans="1:3" ht="24.75" customHeight="1">
      <c r="A15" s="88" t="s">
        <v>200</v>
      </c>
      <c r="B15" s="307" t="s">
        <v>74</v>
      </c>
      <c r="C15" s="88" t="s">
        <v>192</v>
      </c>
    </row>
    <row r="16" spans="1:3" ht="12.75">
      <c r="A16" s="162">
        <v>1</v>
      </c>
      <c r="B16" s="308">
        <v>2</v>
      </c>
      <c r="C16" s="162">
        <v>3</v>
      </c>
    </row>
    <row r="17" spans="1:3" ht="30" customHeight="1">
      <c r="A17" s="169" t="s">
        <v>158</v>
      </c>
      <c r="B17" s="310">
        <v>459</v>
      </c>
      <c r="C17" s="310">
        <v>459</v>
      </c>
    </row>
    <row r="18" spans="1:3" ht="51.75" customHeight="1">
      <c r="A18" s="169" t="s">
        <v>278</v>
      </c>
      <c r="B18" s="309">
        <v>136.7</v>
      </c>
      <c r="C18" s="309">
        <v>136.7</v>
      </c>
    </row>
    <row r="19" spans="1:3" ht="56.25" customHeight="1">
      <c r="A19" s="169" t="s">
        <v>199</v>
      </c>
      <c r="B19" s="309">
        <v>79.5</v>
      </c>
      <c r="C19" s="309">
        <v>79.5</v>
      </c>
    </row>
    <row r="20" spans="1:3" ht="43.5" customHeight="1">
      <c r="A20" s="169" t="s">
        <v>255</v>
      </c>
      <c r="B20" s="309">
        <v>122.8</v>
      </c>
      <c r="C20" s="309">
        <v>122.8</v>
      </c>
    </row>
    <row r="21" spans="1:3" ht="24.75" customHeight="1">
      <c r="A21" s="170" t="s">
        <v>372</v>
      </c>
      <c r="B21" s="309">
        <v>444.3</v>
      </c>
      <c r="C21" s="309">
        <v>444.3</v>
      </c>
    </row>
    <row r="22" spans="1:3" ht="15.75" customHeight="1">
      <c r="A22" s="169" t="s">
        <v>159</v>
      </c>
      <c r="B22" s="309">
        <v>156.7</v>
      </c>
      <c r="C22" s="309">
        <v>156.7</v>
      </c>
    </row>
    <row r="23" spans="1:3" ht="17.25" customHeight="1">
      <c r="A23" s="169" t="s">
        <v>256</v>
      </c>
      <c r="B23" s="309">
        <v>79.9</v>
      </c>
      <c r="C23" s="309">
        <v>79.9</v>
      </c>
    </row>
    <row r="24" spans="1:3" ht="42" customHeight="1">
      <c r="A24" s="169" t="s">
        <v>257</v>
      </c>
      <c r="B24" s="309">
        <v>630.5</v>
      </c>
      <c r="C24" s="309">
        <v>630.5</v>
      </c>
    </row>
    <row r="25" spans="1:3" ht="42" customHeight="1">
      <c r="A25" s="169" t="s">
        <v>281</v>
      </c>
      <c r="B25" s="309">
        <v>342.9</v>
      </c>
      <c r="C25" s="309">
        <v>342.9</v>
      </c>
    </row>
    <row r="26" spans="1:3" ht="21" customHeight="1">
      <c r="A26" s="169" t="s">
        <v>282</v>
      </c>
      <c r="B26" s="309">
        <v>429.3</v>
      </c>
      <c r="C26" s="309">
        <v>429.3</v>
      </c>
    </row>
    <row r="27" spans="1:3" ht="42.75" customHeight="1">
      <c r="A27" s="169" t="s">
        <v>283</v>
      </c>
      <c r="B27" s="309">
        <v>1139.8</v>
      </c>
      <c r="C27" s="309">
        <v>1139.8</v>
      </c>
    </row>
    <row r="28" spans="1:3" ht="29.25" customHeight="1">
      <c r="A28" s="169" t="s">
        <v>217</v>
      </c>
      <c r="B28" s="309">
        <v>0.4</v>
      </c>
      <c r="C28" s="309">
        <v>0.4</v>
      </c>
    </row>
    <row r="29" spans="1:3" ht="44.25" customHeight="1">
      <c r="A29" s="169" t="s">
        <v>298</v>
      </c>
      <c r="B29" s="309">
        <v>111.3</v>
      </c>
      <c r="C29" s="309">
        <v>111.3</v>
      </c>
    </row>
    <row r="30" spans="1:3" ht="30.75" customHeight="1">
      <c r="A30" s="169" t="s">
        <v>294</v>
      </c>
      <c r="B30" s="310">
        <v>25.2</v>
      </c>
      <c r="C30" s="310">
        <v>25.2</v>
      </c>
    </row>
    <row r="31" spans="1:3" ht="14.25" customHeight="1">
      <c r="A31" s="88" t="s">
        <v>198</v>
      </c>
      <c r="B31" s="311">
        <f>SUM(B17:B30)</f>
        <v>4158.3</v>
      </c>
      <c r="C31" s="311">
        <f>SUM(C17:C30)</f>
        <v>4158.3</v>
      </c>
    </row>
  </sheetData>
  <sheetProtection selectLockedCells="1" selectUnlockedCells="1"/>
  <mergeCells count="6">
    <mergeCell ref="B9:C9"/>
    <mergeCell ref="A13:C13"/>
    <mergeCell ref="B6:C6"/>
    <mergeCell ref="B7:C7"/>
    <mergeCell ref="B8:C8"/>
    <mergeCell ref="B3:C3"/>
  </mergeCells>
  <printOptions/>
  <pageMargins left="0.5905511811023623" right="0.1968503937007874" top="0.3937007874015748" bottom="0.3937007874015748" header="0.5118110236220472" footer="0.5118110236220472"/>
  <pageSetup horizontalDpi="300" verticalDpi="300" orientation="portrait" paperSize="9" scale="90" r:id="rId1"/>
  <headerFooter alignWithMargins="0">
    <oddFooter>&amp;C&amp;Ь&amp;Ф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Громова</dc:creator>
  <cp:keywords/>
  <dc:description/>
  <cp:lastModifiedBy>Людмила Богомолова</cp:lastModifiedBy>
  <cp:lastPrinted>2022-02-04T09:09:18Z</cp:lastPrinted>
  <dcterms:created xsi:type="dcterms:W3CDTF">2015-09-21T08:31:07Z</dcterms:created>
  <dcterms:modified xsi:type="dcterms:W3CDTF">2022-05-06T06:38:13Z</dcterms:modified>
  <cp:category/>
  <cp:version/>
  <cp:contentType/>
  <cp:contentStatus/>
</cp:coreProperties>
</file>