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5" activeTab="10"/>
  </bookViews>
  <sheets>
    <sheet name="прил.1" sheetId="1" r:id="rId1"/>
    <sheet name="прил.2" sheetId="2" r:id="rId2"/>
    <sheet name="прил." sheetId="3" state="hidden" r:id="rId3"/>
    <sheet name="прил.3" sheetId="4" state="hidden" r:id="rId4"/>
    <sheet name="прил.4" sheetId="5" state="hidden" r:id="rId5"/>
    <sheet name="прил.5" sheetId="6" r:id="rId6"/>
    <sheet name="прил.6" sheetId="7" r:id="rId7"/>
    <sheet name="прил.7" sheetId="8" r:id="rId8"/>
    <sheet name="Приложение 8 " sheetId="9" r:id="rId9"/>
    <sheet name="прил.9" sheetId="10" state="hidden" r:id="rId10"/>
    <sheet name="прил.10" sheetId="11" r:id="rId11"/>
    <sheet name="прил.11" sheetId="12" state="hidden" r:id="rId12"/>
  </sheets>
  <definedNames>
    <definedName name="_xlnm.Print_Area" localSheetId="2">'прил.'!$A$1:$E$43</definedName>
    <definedName name="_xlnm.Print_Area" localSheetId="0">'прил.1'!$A$1:$E$43</definedName>
    <definedName name="_xlnm.Print_Area" localSheetId="10">'прил.10'!$A$2:$E$43</definedName>
    <definedName name="_xlnm.Print_Area" localSheetId="1">'прил.2'!$A$3:$E$70</definedName>
    <definedName name="_xlnm.Print_Area" localSheetId="7">'прил.7'!$A$1:$I$271</definedName>
    <definedName name="_xlnm.Print_Area" localSheetId="9">'прил.9'!$A$1:$F$39</definedName>
    <definedName name="_xlnm.Print_Area" localSheetId="8">'Приложение 8 '!$A$2:$I$98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<sst xmlns="http://schemas.openxmlformats.org/spreadsheetml/2006/main" count="2459" uniqueCount="667">
  <si>
    <t>Уплата иных платежей</t>
  </si>
  <si>
    <t>Закупка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</si>
  <si>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</si>
  <si>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Пенсионное обеспечение населения</t>
  </si>
  <si>
    <t>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</si>
  <si>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</si>
  <si>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</si>
  <si>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</si>
  <si>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</si>
  <si>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</si>
  <si>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 городских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</si>
  <si>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</si>
  <si>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 и иных сумм в возмещение ущерба, зачисляемые в бюджеты городских поселений</t>
  </si>
  <si>
    <t>Прочие не налоговые доходы бюджетов  городских поселений</t>
  </si>
  <si>
    <t>Код бюджетной классификации</t>
  </si>
  <si>
    <t xml:space="preserve">Сумма </t>
  </si>
  <si>
    <t>Доходы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</si>
  <si>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</si>
  <si>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</si>
  <si>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</si>
  <si>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</si>
  <si>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</si>
  <si>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</si>
  <si>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</si>
  <si>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</si>
  <si>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</si>
  <si>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</si>
  <si>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Распределение бюджетных ассигнований</t>
  </si>
  <si>
    <t xml:space="preserve">                        04 00</t>
  </si>
  <si>
    <t xml:space="preserve">                        04 09 </t>
  </si>
  <si>
    <t>Всего бюджетных ассигнований</t>
  </si>
  <si>
    <t>Фонд оплаты труда государственных (муниципальных) органов</t>
  </si>
  <si>
    <t xml:space="preserve">Иные выплаты государственных (муниципальных) органов,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</si>
  <si>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</si>
  <si>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</si>
  <si>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13</t>
  </si>
  <si>
    <t>01 03 01 00 13 0000 710</t>
  </si>
  <si>
    <t>01 03 01 00 13 0000 810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</si>
  <si>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</si>
  <si>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</si>
  <si>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</si>
  <si>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 xml:space="preserve">       1 11 02033 13 0000 120</t>
  </si>
  <si>
    <t>Доходы от размещения временно свободных средств бюджетов городских поселений</t>
  </si>
  <si>
    <t xml:space="preserve">      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</si>
  <si>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</si>
  <si>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</si>
  <si>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</si>
  <si>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</si>
  <si>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</si>
  <si>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     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</si>
  <si>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</si>
  <si>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     1 13 02995 13 0000 130</t>
  </si>
  <si>
    <t>Прочие доходы от компенсации затрат бюджетов городских поселений</t>
  </si>
  <si>
    <t xml:space="preserve">       1 14 02052 13 0000 410</t>
  </si>
  <si>
    <t xml:space="preserve">      1 14 02053 13 0000 410</t>
  </si>
  <si>
    <t xml:space="preserve">      1 14 06013 13 0000 430</t>
  </si>
  <si>
    <t xml:space="preserve">      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</si>
  <si>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</si>
  <si>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 xml:space="preserve">      1 16 18050 13 0000 140</t>
  </si>
  <si>
    <t>Денежные взыскания (штрафы) за нарушение бюджетного законодательства (в части бюджетов городских поселений)</t>
  </si>
  <si>
    <t xml:space="preserve">     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</si>
  <si>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</si>
  <si>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      1 16 23052 13 0000 140</t>
  </si>
  <si>
    <t>Доходы от возмещения ущерба при возникновении иных страховых случаев , когда выгодоприобретателями выступают получатели средств бюджетов городских поселений</t>
  </si>
  <si>
    <t xml:space="preserve">      1 16 90050 13 0000 140</t>
  </si>
  <si>
    <t xml:space="preserve">      1 17 01050 13 0000 180</t>
  </si>
  <si>
    <t>Невыясненные поступления, зачисляемые в бюджеты городских поселений</t>
  </si>
  <si>
    <t xml:space="preserve">      1 17 02020 13 0000 180</t>
  </si>
  <si>
    <t xml:space="preserve">      1 17 05050 13 0000 180</t>
  </si>
  <si>
    <t>Прочие неналоговые доходы бюджетов городских поселений</t>
  </si>
  <si>
    <t xml:space="preserve">      1 17 14030 13 0000 180</t>
  </si>
  <si>
    <t>Средства самообложения граждан, зачисляемые в бюджеты городских поселений</t>
  </si>
  <si>
    <t xml:space="preserve">      2 08 05000 13 0000 180</t>
  </si>
  <si>
    <t>Перечисления из бюджетов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</si>
  <si>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</si>
  <si>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</si>
  <si>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Прочие субвенции бюджетам городских поселений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</si>
  <si>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</si>
  <si>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иными организациями остатков субсидий прошлых лет</t>
  </si>
  <si>
    <t>0104</t>
  </si>
  <si>
    <t>0106</t>
  </si>
  <si>
    <t>0707</t>
  </si>
  <si>
    <t xml:space="preserve">в связи с осуществлением органами местного самоуправления Белозерского муниципального района </t>
  </si>
  <si>
    <t xml:space="preserve">                     Объем доходов и распределение бюджетных ассигнований Дорожного фонда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</si>
  <si>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  </t>
  </si>
  <si>
    <t>01 05 02 01 13 0000 510</t>
  </si>
  <si>
    <t>01 05 02 01 13 0000 610</t>
  </si>
  <si>
    <t>Субсидии бюджетным учреждениям на иные цели</t>
  </si>
  <si>
    <t xml:space="preserve">Образование </t>
  </si>
  <si>
    <t>Социальная политика</t>
  </si>
  <si>
    <t>Физическая культура и спорт</t>
  </si>
  <si>
    <t>Обеспечение условий для развития на территории поселения физической культуры и массового спорта, организация проведения  официальных физкультурно-оздоровительных и спортивных мероприятий поселения</t>
  </si>
  <si>
    <t>Средства массовой информации</t>
  </si>
  <si>
    <t>Обслуживание государственного и муниципального долга</t>
  </si>
  <si>
    <t>Администрация города Белозерск</t>
  </si>
  <si>
    <t>Расходы на выплаты представительных органов местного самоуправления</t>
  </si>
  <si>
    <t>664 1 11 05013 13 0000 120</t>
  </si>
  <si>
    <t>664 1 14 06013 13 0000 430</t>
  </si>
  <si>
    <t>156 1 11 09045 13 0000 120</t>
  </si>
  <si>
    <t>156 1 17 05050 13 0000 180</t>
  </si>
  <si>
    <t>1 11 05035 13 0000 120</t>
  </si>
  <si>
    <t>1 11 09045 13 0000 120</t>
  </si>
  <si>
    <t>1 13 02995 13 0000 130</t>
  </si>
  <si>
    <t>1 14 02052 13 0000 410</t>
  </si>
  <si>
    <t>1 14 02053 13 0000 410</t>
  </si>
  <si>
    <t>1 17 01050 13 0000 180</t>
  </si>
  <si>
    <t>1 17 05050 13 0000 180</t>
  </si>
  <si>
    <t>06</t>
  </si>
  <si>
    <t>09</t>
  </si>
  <si>
    <t>05</t>
  </si>
  <si>
    <t>07</t>
  </si>
  <si>
    <t>10</t>
  </si>
  <si>
    <t>КВР</t>
  </si>
  <si>
    <t>КФСР</t>
  </si>
  <si>
    <t>КЦСР</t>
  </si>
  <si>
    <t xml:space="preserve"> </t>
  </si>
  <si>
    <t xml:space="preserve">                     Код   </t>
  </si>
  <si>
    <t xml:space="preserve">  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</si>
  <si>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</si>
  <si>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</si>
  <si>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</t>
  </si>
  <si>
    <t xml:space="preserve">Уменьшение остатков средств бюджетов          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</si>
  <si>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</si>
  <si>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</si>
  <si>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ИТОГО</t>
  </si>
  <si>
    <t xml:space="preserve">                  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</si>
  <si>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</si>
  <si>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</si>
  <si>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</si>
  <si>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182 1 01 02000 01 0000 110</t>
  </si>
  <si>
    <t>в том числе:</t>
  </si>
  <si>
    <t>182 1 01 02010 01 0000 110</t>
  </si>
  <si>
    <t>182 1 01 02020 01 0000 110</t>
  </si>
  <si>
    <t>182 1 01 02030 01 0000 110</t>
  </si>
  <si>
    <t xml:space="preserve">БЕЗВОЗМЕЗДНЫЕ ПОСТУПЛЕНИЯ                                           </t>
  </si>
  <si>
    <t>Норматив отчислений в процентах</t>
  </si>
  <si>
    <t xml:space="preserve">  распределения  отчислений  доходов от уплаты налогов (сборов) и иных  неналоговых доходов </t>
  </si>
  <si>
    <t>Наименование доходов бюджета поселения</t>
  </si>
  <si>
    <t>Администрация города Белозерск                   ИНН 3503010522</t>
  </si>
  <si>
    <t>Код</t>
  </si>
  <si>
    <t>Код классификации источников внутреннего финансирования дефицита бюджетов РФ</t>
  </si>
  <si>
    <t xml:space="preserve">          Перечень   главных администраторов источников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</si>
  <si>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</si>
  <si>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</si>
  <si>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</si>
  <si>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</si>
  <si>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</si>
  <si>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</si>
  <si>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</si>
  <si>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</si>
  <si>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</si>
  <si>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</si>
  <si>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</si>
  <si>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</si>
  <si>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</si>
  <si>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</si>
  <si>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</si>
  <si>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</si>
  <si>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</si>
  <si>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</si>
  <si>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</si>
  <si>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</si>
  <si>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ФИЗИЧЕСКАЯ КУЛЬТУРА И СПОРТ</t>
  </si>
  <si>
    <t>Физическая 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</si>
  <si>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</si>
  <si>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</si>
  <si>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</si>
  <si>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</si>
  <si>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</si>
  <si>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 xml:space="preserve">Распределение бюджетных ассигнований по разделам, подразделам классификации </t>
  </si>
  <si>
    <t>01</t>
  </si>
  <si>
    <t>00</t>
  </si>
  <si>
    <t>02</t>
  </si>
  <si>
    <t>03</t>
  </si>
  <si>
    <t>04</t>
  </si>
  <si>
    <t>подраздел</t>
  </si>
  <si>
    <t>Целевая статья</t>
  </si>
  <si>
    <t>Вид расходов</t>
  </si>
  <si>
    <t>Общегосударственные вопросы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</si>
  <si>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</si>
  <si>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</si>
  <si>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</si>
  <si>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</si>
  <si>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</si>
  <si>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</si>
  <si>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Иные закупки товаров, работ и услуг для государственных (муниципальных) нужд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</si>
  <si>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</si>
  <si>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администрации муниципального образования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</si>
  <si>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</si>
  <si>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</si>
  <si>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</si>
  <si>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 функций,связанных с общегосударственным управлением</t>
  </si>
  <si>
    <t>Национальная оборона</t>
  </si>
  <si>
    <t>Осуществление первичного воинского учета на территориях ,где отсутствуют военные комиссариаты</t>
  </si>
  <si>
    <t>Национальная безопасность и правоохранительная деятельность</t>
  </si>
  <si>
    <t>Обеспечение деятельности аварийно-спасательной службы</t>
  </si>
  <si>
    <t>Национальная экономика</t>
  </si>
  <si>
    <t>Жилищно-коммунальное хозяйство</t>
  </si>
  <si>
    <t>Мероприятия в сфере жилищно-коммунального хозяйства</t>
  </si>
  <si>
    <t>Поддержка жилищного хозяйства</t>
  </si>
  <si>
    <t>Капитальный ремонт муниципального жилищного фонда</t>
  </si>
  <si>
    <t>Поддержка коммунального хозяйства</t>
  </si>
  <si>
    <t>182 1 06 06033 13 0000 110</t>
  </si>
  <si>
    <t>182 1 06 06043 13 0000 110</t>
  </si>
  <si>
    <t>182 1 06 01030 13 0000 110</t>
  </si>
  <si>
    <t>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</si>
  <si>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</si>
  <si>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156 1 11 05075 13 0000 120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</si>
  <si>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</si>
  <si>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</si>
  <si>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</si>
  <si>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1 11 05075 13 0000 120</t>
  </si>
  <si>
    <t>Условно утверждаемые расходы городского бюджета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</si>
  <si>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</si>
  <si>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</si>
  <si>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уличное освещение</t>
  </si>
  <si>
    <t xml:space="preserve">Молодежная политика </t>
  </si>
  <si>
    <t>осуществление полномочий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 оздоровительных и спортивных мероприятий поселения</t>
  </si>
  <si>
    <t>Процентные платежи по долговым обязательствам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</si>
  <si>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</si>
  <si>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Программа муниципальных внутренних заимствований</t>
  </si>
  <si>
    <t>Внутренние заимствования</t>
  </si>
  <si>
    <t>Сумма</t>
  </si>
  <si>
    <t>(привлечение/погашение)</t>
  </si>
  <si>
    <t>(тыс. рублей)</t>
  </si>
  <si>
    <t>код главного распорядителя бюджетных средств</t>
  </si>
  <si>
    <t>НАЛОГОВЫЕ ДОХОДЫ</t>
  </si>
  <si>
    <t>Налог на доходы физических лиц, всего</t>
  </si>
  <si>
    <t>100 1 03 02000 01 0000 110</t>
  </si>
  <si>
    <t>182 1 05 03010 01 0000 110</t>
  </si>
  <si>
    <t>Единый сельскохозяйственный налог</t>
  </si>
  <si>
    <t>НЕНАЛОГОВЫЕ ДОХОДЫ</t>
  </si>
  <si>
    <t>ДОТАЦИИ БЮДЖЕТАМ ГОРОДСКИХ ПОСЕЛЕНИЙ</t>
  </si>
  <si>
    <t>СУБСИДИИ БЮДЖЕТАМ ГОРОДСКИХ ПОСЕЛЕНИЙ</t>
  </si>
  <si>
    <t>СУБВЕНЦИИ БЮДЖЕТАМ ГОРОДСКИХ ПОСЕЛЕНИЙ</t>
  </si>
  <si>
    <t>ВСЕГО:</t>
  </si>
  <si>
    <t>в бюджет муниципального образования «Город Белозерск» на 2018 год и плановый период 2019 и 2020 годов</t>
  </si>
  <si>
    <t>главного
администратора доходов</t>
  </si>
  <si>
    <t>видов (подвидов) доходов бюджета муниципального образования</t>
  </si>
  <si>
    <t>156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</si>
  <si>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</si>
  <si>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</si>
  <si>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</si>
  <si>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</si>
  <si>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</si>
  <si>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</si>
  <si>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</si>
  <si>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Распределение бюджетных ассигнований по разделам, подразделам,</t>
  </si>
  <si>
    <t xml:space="preserve">                   целевым статьям (муниципальным программам и непрограммным</t>
  </si>
  <si>
    <t xml:space="preserve">                   направлениям деятельности),группам и подгруппам видов расходов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</si>
  <si>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</si>
  <si>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</si>
  <si>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</si>
  <si>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</si>
  <si>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Иные выплаты персоналу государственных (муниципальных) органов, за исключением фонда оплаты труда</t>
  </si>
  <si>
    <t>формируемый за счет налоговых и неналоговых доходов ,а также безвозмездных поступлений</t>
  </si>
  <si>
    <t>( тыс.руб)</t>
  </si>
  <si>
    <t>(тыс.руб)</t>
  </si>
  <si>
    <t>(тыс.руб.)</t>
  </si>
  <si>
    <t xml:space="preserve">Сумма  </t>
  </si>
  <si>
    <r>
      <t xml:space="preserve">                   </t>
    </r>
    <r>
      <rPr>
        <b/>
        <i/>
        <sz val="10"/>
        <rFont val="Times New Roman"/>
        <family val="1"/>
      </rPr>
      <t xml:space="preserve">  Наименование </t>
    </r>
  </si>
  <si>
    <t>0113</t>
  </si>
  <si>
    <t>Всего расходов</t>
  </si>
  <si>
    <t>ИСТОЧНИКИ</t>
  </si>
  <si>
    <t>к решению Совета города Белозерск</t>
  </si>
  <si>
    <t>на 2018 год и плановый период</t>
  </si>
  <si>
    <t>2019-2020 годов"</t>
  </si>
  <si>
    <t>"О бюджете муниципального</t>
  </si>
  <si>
    <t>образования "город Белозерск</t>
  </si>
  <si>
    <t>Нормативы</t>
  </si>
  <si>
    <t xml:space="preserve"> Приложение 3</t>
  </si>
  <si>
    <t xml:space="preserve">        </t>
  </si>
  <si>
    <t>91000S2270</t>
  </si>
  <si>
    <t>внутреннего финансирования дефицита бюджета муниципального образования</t>
  </si>
  <si>
    <r>
      <t xml:space="preserve">                                         </t>
    </r>
    <r>
      <rPr>
        <b/>
        <i/>
        <sz val="14"/>
        <rFont val="Times New Roman"/>
        <family val="1"/>
      </rPr>
      <t xml:space="preserve">   АДМИНИСТРАЦИЯ      ГОРОДА         БЕЛОЗЕРСК</t>
    </r>
  </si>
  <si>
    <r>
      <t xml:space="preserve">                   </t>
    </r>
    <r>
      <rPr>
        <b/>
        <sz val="10"/>
        <rFont val="Times New Roman"/>
        <family val="1"/>
      </rPr>
      <t xml:space="preserve">  Наименование </t>
    </r>
  </si>
  <si>
    <t xml:space="preserve">                                                           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</si>
  <si>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</si>
  <si>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получателями средств бюджетов городских поселений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</si>
  <si>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</si>
  <si>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</si>
  <si>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</si>
  <si>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Перечень и коды главных администраторов доходов бюджета муниципального образования «Город Белозерск» </t>
  </si>
  <si>
    <t>Возмещение потерь сельскохозяйственного производства, связанных с изъятием сельскохозяйственных угодий, расположенных на территории городских поселений (по обязательствам возникшим до 1 января 2008 года)</t>
  </si>
  <si>
    <t>Акцизы по подакцизным товарам (продукции),производимым на территории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</si>
  <si>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</si>
  <si>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от 22.12.2017 №79</t>
  </si>
  <si>
    <t>от ________________года №___________</t>
  </si>
  <si>
    <t xml:space="preserve">       1 11 05075 13 0000 120</t>
  </si>
  <si>
    <t>от ________________года № ______</t>
  </si>
  <si>
    <t>от _________________года №_______</t>
  </si>
  <si>
    <t>от ________________года №_______</t>
  </si>
  <si>
    <t>от ________________года № __________</t>
  </si>
  <si>
    <t>от _________________ № _________</t>
  </si>
  <si>
    <t>от ________________ № _________</t>
  </si>
  <si>
    <t>Остаток средств на начало года</t>
  </si>
  <si>
    <t>ИНЫЕ МЕЖБЮДЖЕТНЫЕ ТРАНСФЕРТЫ БЮДЖЕТАМ ГОРОДСКИХ ПОСЕЛЕНИЙ</t>
  </si>
  <si>
    <t>1 11 05025 13 0000 120</t>
  </si>
  <si>
    <t>Субсидия на реализацию проекта "Народный бюджет"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</si>
  <si>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</si>
  <si>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</si>
  <si>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Расходы на мероприятия по благоустройству дворовых территорий</t>
  </si>
  <si>
    <t>Прочая закупка товаров, работ и услуг для обеспечения государственных (муниципальных) нужд</t>
  </si>
  <si>
    <t>156 04 09 91 0 00 S1360 244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</si>
  <si>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</si>
  <si>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</si>
  <si>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</si>
  <si>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</si>
  <si>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Возмещение средств физическим лицам за понесенные ими расходы в части содержания муниципального жилого фонда</t>
  </si>
  <si>
    <t>ГРБС</t>
  </si>
  <si>
    <t>РЗ</t>
  </si>
  <si>
    <t>ПР</t>
  </si>
  <si>
    <t>4</t>
  </si>
  <si>
    <t>5</t>
  </si>
  <si>
    <t>ИТОГО</t>
  </si>
  <si>
    <t>образования "Город Белозерск"</t>
  </si>
  <si>
    <t>25 0 00 00000</t>
  </si>
  <si>
    <t xml:space="preserve">                                    от __________________ № ______</t>
  </si>
  <si>
    <t xml:space="preserve">                                     к решению Совета города Белозерск</t>
  </si>
  <si>
    <t>244</t>
  </si>
  <si>
    <t>156 2 07 05030 13 0000 180</t>
  </si>
  <si>
    <t>Налоговые и неналоговы доходы</t>
  </si>
  <si>
    <t>000 1 00 00000 00 0000 000</t>
  </si>
  <si>
    <t>Капитальный ремонт очистных сооружений</t>
  </si>
  <si>
    <t>Итого по программе</t>
  </si>
  <si>
    <t>тыс. рублей</t>
  </si>
  <si>
    <t>2021 год</t>
  </si>
  <si>
    <t>от _____________№____</t>
  </si>
  <si>
    <t>2021год</t>
  </si>
  <si>
    <t>156 1 11 05 025 13 0000 120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</si>
  <si>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</si>
  <si>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2 02 15002 13 0000 150</t>
  </si>
  <si>
    <t>2 02 29999 13 0000 150</t>
  </si>
  <si>
    <t>2 02 40014 13 0000 150</t>
  </si>
  <si>
    <t>156 2 02 29999 13 0000 150</t>
  </si>
  <si>
    <t>156 2 02 35118 13 0000 150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</si>
  <si>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</si>
  <si>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2 02 27112 13 0000 150</t>
  </si>
  <si>
    <t>2 02 35118 13 0000 150</t>
  </si>
  <si>
    <t>2 02 39999 13 0000 150</t>
  </si>
  <si>
    <t>2 07 05020 13 0000 150</t>
  </si>
  <si>
    <t>2 08 05000 13 0000 150</t>
  </si>
  <si>
    <t>156 2 02 15001 13 0000 150</t>
  </si>
  <si>
    <t>156 2 07 0502013 0000 150</t>
  </si>
  <si>
    <t>2 18 05010 13 0000 150</t>
  </si>
  <si>
    <t>2 18 05030 13 0000 150</t>
  </si>
  <si>
    <t>2 02 25555 13 0000 150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</si>
  <si>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227.1 и 228 Налогового кодекса РФ</t>
  </si>
  <si>
    <t xml:space="preserve">Увеличение прочих остатков средств бюджетов </t>
  </si>
  <si>
    <t xml:space="preserve">Увеличение прочих остатков денежных средств бюджетов городских поселений                                              </t>
  </si>
  <si>
    <t xml:space="preserve">Уменьшение прочих остатков денежных средств бюджетов городских поселений                                              </t>
  </si>
  <si>
    <t>91000S1090</t>
  </si>
  <si>
    <t>39 0 00 00000</t>
  </si>
  <si>
    <t>39 0 01 00000</t>
  </si>
  <si>
    <t>39 0 01 20300</t>
  </si>
  <si>
    <t>Прочая закупка товаров, работ и услуг</t>
  </si>
  <si>
    <t>39002S1360</t>
  </si>
  <si>
    <t>Исполнение судебных актов Российской Федерации и мировых соглашений по возмещению причиненного вреда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</si>
  <si>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</si>
  <si>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</si>
  <si>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</si>
  <si>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</si>
  <si>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Пенсионное обеспечение</t>
  </si>
  <si>
    <t>Расходы на обеспечение функций муниципальных органов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</si>
  <si>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</si>
  <si>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</si>
  <si>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</si>
  <si>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</si>
  <si>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переданных полномочий в области внешнего финансового контроля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</si>
  <si>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</si>
  <si>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</si>
  <si>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</si>
  <si>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земельного контроля в границах поселения</t>
  </si>
  <si>
    <t>Обеспечение мер пожарной безопасности</t>
  </si>
  <si>
    <t>Мероприятия по благоустройству поселения</t>
  </si>
  <si>
    <t>Осуществление переданных полномочий по организации и осуществлению мероприятий по работе с детьми и молодежью</t>
  </si>
  <si>
    <t>Организация уличного освещения</t>
  </si>
  <si>
    <t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Белозерск" Белозерского муниципального района Вологодской области на 2019-2022 годы"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</si>
  <si>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</si>
  <si>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 xml:space="preserve">Строительство, реконструкция и капитальный ремонт централизованных систем водоснабжения и водоотведения </t>
  </si>
  <si>
    <t>41 0 00 00000</t>
  </si>
  <si>
    <t>41 0 01 00000</t>
  </si>
  <si>
    <t>Выполнение других обязательств, связанных с содержанием имущества находящегося в казне города</t>
  </si>
  <si>
    <t>91000S3350</t>
  </si>
  <si>
    <t>Обустройство систем уличного освещения</t>
  </si>
  <si>
    <t>41 0 01 S3040</t>
  </si>
  <si>
    <t>156 2 02 25555 13 0000 150</t>
  </si>
  <si>
    <t>Реализация мероприятий проекта "Народный бюджет"</t>
  </si>
  <si>
    <t>156 2 02 15002 13 0000 150</t>
  </si>
  <si>
    <t>156 1 13 02995 13 0000 130</t>
  </si>
  <si>
    <t>Единая субвенция бюджетам муниципальных образований области</t>
  </si>
  <si>
    <t>25 0 F2 00000</t>
  </si>
  <si>
    <t>25 0 F2 55551</t>
  </si>
  <si>
    <t>250F200000</t>
  </si>
  <si>
    <t>250F255551</t>
  </si>
  <si>
    <t>156 04 09 39 0 04 20300 244</t>
  </si>
  <si>
    <t>Приложение 2</t>
  </si>
  <si>
    <t>Приложение 1</t>
  </si>
  <si>
    <t>2022год</t>
  </si>
  <si>
    <t>2022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</si>
  <si>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</si>
  <si>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</si>
  <si>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1 16 10123 01 0002 140</t>
  </si>
  <si>
    <t>1 16 10123 01 0001 140</t>
  </si>
  <si>
    <t>1 16 02020 02 0000 140</t>
  </si>
  <si>
    <t>1 16 07010 13 0000 140</t>
  </si>
  <si>
    <t>1 16 10061 13 0000 140</t>
  </si>
  <si>
    <t>1 16 01194 01 0000 140</t>
  </si>
  <si>
    <t>1 16 01154 01 0000 140</t>
  </si>
  <si>
    <t>1 16 01157 01 0000 140</t>
  </si>
  <si>
    <t>1 16 10081 13 0000 140</t>
  </si>
  <si>
    <t>1 16 10031 13 0000 140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</si>
  <si>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</si>
  <si>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</si>
  <si>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</si>
  <si>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</si>
  <si>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</si>
  <si>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2 02 45390 13 0000 150</t>
  </si>
  <si>
    <t>156 2 04 05020 13 0000 150</t>
  </si>
  <si>
    <t>2 04 05020 13 0000 150</t>
  </si>
  <si>
    <t>156 2 02  45390 13 0000 150</t>
  </si>
  <si>
    <t xml:space="preserve"> Межбюджетные трансферты, передаваемые бюджетам городских поселений на финансовое обеспечение дорожной деятельности
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</si>
  <si>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</si>
  <si>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 Поступления от денежных пожертвований, предоставляемых негосударственными организациями получателям средств бюджетов городских поселений
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</si>
  <si>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</si>
  <si>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1 16 10100 13 0000 140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</si>
  <si>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</si>
  <si>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</si>
  <si>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Муниципальная программа "Комплексное развитие систем транспортной инфраструктуры МО "Город Белозерск" Белозерского муниципального районаВологодской области на 2019-2024 годы"</t>
  </si>
  <si>
    <t>Муниципальная программа "Комплексное развитие систем транспортной инфраструктуры МО "Город Белозерск" Белозерского муниципального района Вологодской области на 2019-2024 годы"</t>
  </si>
  <si>
    <t>41 0 04 00000</t>
  </si>
  <si>
    <t>41 0 04 23090</t>
  </si>
  <si>
    <t>25 0 04 00190</t>
  </si>
  <si>
    <t>39005S1350</t>
  </si>
  <si>
    <t xml:space="preserve">Основное мероприятие «Ремонт автомобильных дорог» </t>
  </si>
  <si>
    <t>Основное мероприятие "Ремонт автодороги западного района г. Белозерска "</t>
  </si>
  <si>
    <t>156 04 09 39 0 05 S1350 244</t>
  </si>
  <si>
    <t>156 04 09 39 0 07 20300 244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</si>
  <si>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</si>
  <si>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</si>
  <si>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156 1 16 10123 01 0131 140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</si>
  <si>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</si>
  <si>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</si>
  <si>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</si>
  <si>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156 2 02  40014 13 0000 150</t>
  </si>
  <si>
    <t>Основное мероприятие "Разработка проектов организации дорожного движения"</t>
  </si>
  <si>
    <t>"Приложение 10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</si>
  <si>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</si>
  <si>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</si>
  <si>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2 02 49999 13 0000 150</t>
  </si>
  <si>
    <t>156 2 02 49999 13 0000 150</t>
  </si>
  <si>
    <t>Прочие межбюджетные трансферты, передаваемые бюджетам городских поселений</t>
  </si>
  <si>
    <t>25 0 04 00000</t>
  </si>
  <si>
    <t>49 0 00 00000</t>
  </si>
  <si>
    <t>49 0 01 00000</t>
  </si>
  <si>
    <t>49 0 01 23010</t>
  </si>
  <si>
    <t>4900000000</t>
  </si>
  <si>
    <t>4900100000</t>
  </si>
  <si>
    <t>Основное мероприятие "Содержание открытых и закрытых пожарных водоемов"</t>
  </si>
  <si>
    <t>01 02 01 00 13 0000 710</t>
  </si>
  <si>
    <t>01 02 01 00 13 0000 810</t>
  </si>
  <si>
    <t>000 01 02 00 00 00 0000 000</t>
  </si>
  <si>
    <t>000 01 02 00 00 00 0000 700</t>
  </si>
  <si>
    <t>000 01 02 00 00 13 0000 710</t>
  </si>
  <si>
    <t>000 01 02 00 00 13 0000 810</t>
  </si>
  <si>
    <t>000 01 02 00 00 00 0000 800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</si>
  <si>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</si>
  <si>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</si>
  <si>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</si>
  <si>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</si>
  <si>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</si>
  <si>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</si>
  <si>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</si>
  <si>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</si>
  <si>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</si>
  <si>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</si>
  <si>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</si>
  <si>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</si>
  <si>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</si>
  <si>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</si>
  <si>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156 04 09 39 0 06 20300 244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</si>
  <si>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</si>
  <si>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</si>
  <si>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156 2 02 16001 13 0000 150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</si>
  <si>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</si>
  <si>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</si>
  <si>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</si>
  <si>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156 2 02 45390 13 0000 150</t>
  </si>
  <si>
    <t xml:space="preserve">Мероприятия в сфере средств массовой информации </t>
  </si>
  <si>
    <t>Дотации бюджетам городских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</si>
  <si>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</si>
  <si>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156 2 02 15853 13 0000 150</t>
  </si>
  <si>
    <t>156 2 02 36900 13 0000 150</t>
  </si>
  <si>
    <t>Единая субвенция бюджетам городских поселений из бюджета  субъекта Российской Федерации</t>
  </si>
  <si>
    <t>2 02 36900 13 0000 150</t>
  </si>
  <si>
    <t>Единая субвенция бюджетам городских поселений из бюджета субъекта Российской Федерации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</si>
  <si>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</si>
  <si>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</si>
  <si>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156 1 16 10032 13 0000 140</t>
  </si>
  <si>
    <t>156 04 09 39 0 01  S1350 612</t>
  </si>
  <si>
    <t>39001S1350</t>
  </si>
  <si>
    <t>2 18 60010 13 0000 150</t>
  </si>
  <si>
    <t xml:space="preserve"> 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</si>
  <si>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                                                                                           </t>
  </si>
  <si>
    <t>на 2021 год и плановый период</t>
  </si>
  <si>
    <t>2022-2023 годов"</t>
  </si>
  <si>
    <t xml:space="preserve">  на 2021 год и плановый период 2022 и 2023 годов</t>
  </si>
  <si>
    <t>2023год</t>
  </si>
  <si>
    <t>Приложение 3</t>
  </si>
  <si>
    <t>и закрепляемые за ними виды (подвиды) доходов на 2021 год и плановый период 2022 и 2023 годы</t>
  </si>
  <si>
    <t xml:space="preserve"> «Город Белозерск» на 2021год и плановый период 2022 и 2023 годов</t>
  </si>
  <si>
    <t xml:space="preserve">     расходов бюджета на 2021 год  и плановый период 2022 и 2023 годов</t>
  </si>
  <si>
    <t>2023 год</t>
  </si>
  <si>
    <t>на 2021 год и плановый период 2022  и 2023 годов</t>
  </si>
  <si>
    <t xml:space="preserve">                     полномочий по вопросам  местного значения  на 2021 год                                        </t>
  </si>
  <si>
    <t xml:space="preserve">                                     2021 год и плановый период 2022-2023 годов"</t>
  </si>
  <si>
    <t>от ______________№ ______</t>
  </si>
  <si>
    <t>муниципального образования «Город Белозерск» на 2021год и плановый период 2022 и 2023 годов</t>
  </si>
  <si>
    <t>4900200000</t>
  </si>
  <si>
    <t>Основное мероприятие "Обустройство пожарных водоемов"</t>
  </si>
  <si>
    <t>Основное мероприятие "Разработка  документации"</t>
  </si>
  <si>
    <t>250F254240</t>
  </si>
  <si>
    <t>Основное мероприятие "Реализация регионального проекта "Чистая вода"</t>
  </si>
  <si>
    <t>Строительство и реконструкция (модернизация)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</si>
  <si>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</si>
  <si>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</si>
  <si>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49 0 02 00000</t>
  </si>
  <si>
    <t>49 0 02 23010</t>
  </si>
  <si>
    <t xml:space="preserve">          в ведомственной структуре  расходов на 2021 год и плановый период 2022 и 2023 годы</t>
  </si>
  <si>
    <t xml:space="preserve">  Распределение бюджетных ассигнований по разделам, подразделам, целевым статьям и видам расходов </t>
  </si>
  <si>
    <t>передаваемые бюджету Белозерского муниципального района</t>
  </si>
  <si>
    <t>на реализацию муниципальных  программна 2021 год и плановый период 2022 и 2023 годов</t>
  </si>
  <si>
    <t xml:space="preserve">                                            РАСПРЕДЕЛЕНИЕ БЮДЖЕТНЫХ АССИГНОВАНИЙ</t>
  </si>
  <si>
    <t xml:space="preserve"> Приложение 9</t>
  </si>
  <si>
    <t>Осуществление части полномочий в сфере градостроительного и жилищного законодательства</t>
  </si>
  <si>
    <t>Основное мероприятие "Разработка документации "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</si>
  <si>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</si>
  <si>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</si>
  <si>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</si>
  <si>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</si>
  <si>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156 2 02 25243 13 0000 150</t>
  </si>
  <si>
    <t>156 2 02 45424 13 0000 150</t>
  </si>
  <si>
    <t>2 02 25243 13 0000 150</t>
  </si>
  <si>
    <t>2 02 45424 13 0000 150</t>
  </si>
  <si>
    <t xml:space="preserve">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</si>
  <si>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городских поселений на строительство и реконструкцию (модернизацию) объектов питьевого водоснабжения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</si>
  <si>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</si>
  <si>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1 11 05314 13 0000 120</t>
  </si>
  <si>
    <t>БЕЗВОЗМЕЗДНЫЕ ПОСТУПЛЕНИЯ ОТ НЕГОСУДАРСТВЕННЫХ ОРГАНИЗАЦИЙ В БЮДЖЕТЫ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</si>
  <si>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</si>
  <si>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 МО "Город Белозерск" Белозерского муниципального района Вологодской области на 2020-2024 годы"</t>
  </si>
  <si>
    <t>12</t>
  </si>
  <si>
    <t>Другие вопросы в области национальной экономики</t>
  </si>
  <si>
    <t>Муниципальная программа "Формирование современной городской среды на территории муниципального образования "Город Белозерск" на 2018-2024 годы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</si>
  <si>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</si>
  <si>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</si>
  <si>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от 24.12.2020 года № 56</t>
  </si>
  <si>
    <t>от 24.12.2020 года  № 56</t>
  </si>
  <si>
    <t xml:space="preserve">                                     от 24.12.2020 года № 56</t>
  </si>
  <si>
    <t>410F500000</t>
  </si>
  <si>
    <t>410F552430</t>
  </si>
  <si>
    <t>41 0 F5 00000</t>
  </si>
  <si>
    <t>41 0 F5 52430</t>
  </si>
  <si>
    <t>"Приложение 1</t>
  </si>
  <si>
    <t>"</t>
  </si>
  <si>
    <t xml:space="preserve"> "Приложение 2</t>
  </si>
  <si>
    <t>"Приложение 5</t>
  </si>
  <si>
    <t xml:space="preserve"> "Приложение 6</t>
  </si>
  <si>
    <t>"Приложение 7</t>
  </si>
  <si>
    <t xml:space="preserve">                                    "Приложение 8</t>
  </si>
  <si>
    <t>240</t>
  </si>
  <si>
    <t>156 04 09 39 0 01 20300 610</t>
  </si>
  <si>
    <t>156 04 09 39 0 02 S1360 240</t>
  </si>
  <si>
    <t>156 04 09 39 0 07 20300 240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</si>
  <si>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</si>
  <si>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</si>
  <si>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</si>
  <si>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</si>
  <si>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</si>
  <si>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</si>
  <si>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инвестиции</t>
  </si>
  <si>
    <t>Исполнение судебных актов</t>
  </si>
  <si>
    <t>156 1 16 02020 02 0000 140</t>
  </si>
  <si>
    <t>664 1 11 05314 13 0000 120</t>
  </si>
  <si>
    <t>Приложение 9</t>
  </si>
  <si>
    <t>"Приложение 11</t>
  </si>
  <si>
    <t>Кредиты от кредитных организаций</t>
  </si>
  <si>
    <t>"Приложение 4</t>
  </si>
  <si>
    <t>Погашение  кредитов</t>
  </si>
  <si>
    <t xml:space="preserve">Привлечение  кредитов 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</si>
  <si>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</si>
  <si>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</si>
  <si>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</si>
  <si>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
 Российской Федерации
</t>
  </si>
  <si>
    <t>000 01 03 01 00 13 0000 710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</si>
  <si>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</si>
  <si>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</si>
  <si>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</si>
  <si>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</si>
  <si>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49 0 02 S2270</t>
  </si>
  <si>
    <t>08</t>
  </si>
  <si>
    <t>КУЛЬТУРА, КИНЕМАТОГРАФИЯ</t>
  </si>
  <si>
    <t>Другие вопросы в области культуры, кинематографии</t>
  </si>
  <si>
    <t>Культура, кинематография</t>
  </si>
  <si>
    <t>49002S2270</t>
  </si>
  <si>
    <t>Приложение 6</t>
  </si>
  <si>
    <t xml:space="preserve">Благоустройство объектов туристической индустрии </t>
  </si>
  <si>
    <t>250F255553</t>
  </si>
  <si>
    <t>250F255554</t>
  </si>
  <si>
    <t>Реализация мероприятий по цифровизации городского хозяйства</t>
  </si>
  <si>
    <t>Реализация проектов муниципальных образований - победителей Всероссийского конкурса лучших проектов создания комфортной городской среды</t>
  </si>
  <si>
    <t>25 0 F2 55553</t>
  </si>
  <si>
    <t>25 0 F2 55554</t>
  </si>
  <si>
    <t>41 0 06 00000</t>
  </si>
  <si>
    <t>41 0 06 23090</t>
  </si>
  <si>
    <t>Основное мероприятие "Устройство сетей водопровода и канализации для МКД"</t>
  </si>
  <si>
    <t>к решению Совета городского поселения</t>
  </si>
  <si>
    <t>"Город Белозерск"</t>
  </si>
  <si>
    <t>поселения "Город Белозерск"</t>
  </si>
  <si>
    <t xml:space="preserve">к решению Совета городского </t>
  </si>
  <si>
    <t>к решению Совета городского</t>
  </si>
  <si>
    <t>внутреннего финансирования дефицита бюджета городского поселения</t>
  </si>
  <si>
    <t xml:space="preserve">        Объем доходов городского поселения "Город Белозерск" на 2021 год и плановый период 2022 и 2023 годов,  </t>
  </si>
  <si>
    <t>91000S1780</t>
  </si>
  <si>
    <t>Мероприятия по подготовке работ по благоустройству парка культуры и отдыха</t>
  </si>
  <si>
    <t>Благоустройство объектов туристической индустрии</t>
  </si>
  <si>
    <t>"О бюджете городского</t>
  </si>
  <si>
    <t>к решению Совета города Белозерск " О  бюджете городского поселения «Город  Белозерск» на 2021 год и плановый период 2022 и 2023 годов"</t>
  </si>
  <si>
    <t xml:space="preserve">                                    к решению Совета городского поселения</t>
  </si>
  <si>
    <t xml:space="preserve">      "Город Белозерск"</t>
  </si>
  <si>
    <t xml:space="preserve">                                    "О бюджете городского </t>
  </si>
  <si>
    <t xml:space="preserve">                                     поселения "Город  Белозерск" на </t>
  </si>
  <si>
    <t>к решению Совета города Белозерск " О  бюджете городского поселения  «Город  Белозерск» на 2021 год и плановый период 2022 и 2023 годов"</t>
  </si>
  <si>
    <t>городского поселения "Город Белозерск" на 2021 и плановый период 2022 и 2023 годов</t>
  </si>
  <si>
    <t>25008S1780</t>
  </si>
  <si>
    <t>Основное мероприятие "Реализация проекта "Моя Белозерская Набережная"</t>
  </si>
  <si>
    <t>Основное мероприятие "Благоустройство парка культуры и отдыха"</t>
  </si>
  <si>
    <t>25 0 F2 54240</t>
  </si>
  <si>
    <t>25 0 07 00000</t>
  </si>
  <si>
    <t>25 0 07 23050</t>
  </si>
  <si>
    <t>25 0 08 00000</t>
  </si>
  <si>
    <t>25 0 08 21780</t>
  </si>
  <si>
    <t>25 0 08 S1780</t>
  </si>
  <si>
    <t>Расходы на мероприятия по подготовке к реконструкции объектов питьевого водоснабжения</t>
  </si>
  <si>
    <t>41 0 05 52430</t>
  </si>
  <si>
    <t>25 0 04 25551</t>
  </si>
  <si>
    <t>Мероприятия по благоустройству дворовых территорий</t>
  </si>
  <si>
    <t>Основное мероприятие "Благоустройство дворовых территорий"</t>
  </si>
  <si>
    <t>156 2 02 25027 13 0000 150</t>
  </si>
  <si>
    <t>91000S1750</t>
  </si>
  <si>
    <t>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</si>
  <si>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Другие вопросы в области социальной политики</t>
  </si>
  <si>
    <t>Приложение 4</t>
  </si>
  <si>
    <t>Субсидии бюджетам городских поселений на реализацию мероприятий государственной программы Российской Федерации "Доступная среда"</t>
  </si>
  <si>
    <t>2 02 25027 13 0000 150</t>
  </si>
  <si>
    <t xml:space="preserve">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</si>
  <si>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156 04 09 39 0 01  S1350 244</t>
  </si>
  <si>
    <t>Приложение 5</t>
  </si>
  <si>
    <t>Выплаты почетным гражданам</t>
  </si>
  <si>
    <t>Социальное обеспечение населения</t>
  </si>
  <si>
    <t>Иные выплаты населению</t>
  </si>
  <si>
    <t>182 1 01 02080 01 0000 110</t>
  </si>
  <si>
    <t xml:space="preserve">                                    Приложение 6</t>
  </si>
  <si>
    <t>Приложение 7</t>
  </si>
  <si>
    <t>156 04 09 39 0 01 20300 240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</si>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</sst>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\.0\.00\.00000\.00\.0000\.000"/>
    <numFmt numFmtId="195" formatCode="000"/>
    <numFmt numFmtId="196" formatCode="00"/>
    <numFmt numFmtId="197" formatCode="00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0" fontId="1" fillId="0" borderId="0" xfId="42" applyNumberFormat="1" applyFont="1" applyFill="1" applyBorder="1" applyAlignment="1" applyProtection="1">
      <alignment horizontal="left"/>
      <protection/>
    </xf>
    <xf numFmtId="49" fontId="24" fillId="3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5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1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/>
    </xf>
    <xf numFmtId="0" fontId="0" fillId="33" borderId="0" xfId="0" applyFont="1" applyFill="1" applyAlignment="1">
      <alignment/>
    </xf>
    <xf numFmtId="4" fontId="4" fillId="0" borderId="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 vertical="top" wrapText="1"/>
    </xf>
    <xf numFmtId="188" fontId="0" fillId="0" borderId="10" xfId="0" applyNumberFormat="1" applyBorder="1" applyAlignment="1">
      <alignment/>
    </xf>
    <xf numFmtId="0" fontId="6" fillId="0" borderId="13" xfId="53" applyNumberFormat="1" applyFont="1" applyFill="1" applyBorder="1" applyAlignment="1" applyProtection="1">
      <alignment wrapText="1"/>
      <protection hidden="1"/>
    </xf>
    <xf numFmtId="0" fontId="0" fillId="0" borderId="11" xfId="0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8" fontId="0" fillId="0" borderId="0" xfId="0" applyNumberFormat="1" applyAlignment="1">
      <alignment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3" xfId="53" applyNumberFormat="1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>
      <alignment horizontal="right" vertical="top" wrapText="1"/>
    </xf>
    <xf numFmtId="0" fontId="54" fillId="0" borderId="0" xfId="56" applyAlignment="1">
      <alignment horizontal="justify" vertical="top"/>
      <protection/>
    </xf>
    <xf numFmtId="0" fontId="54" fillId="0" borderId="0" xfId="56">
      <alignment/>
      <protection/>
    </xf>
    <xf numFmtId="49" fontId="26" fillId="0" borderId="0" xfId="56" applyNumberFormat="1" applyFont="1" applyAlignment="1">
      <alignment horizontal="left"/>
      <protection/>
    </xf>
    <xf numFmtId="0" fontId="27" fillId="0" borderId="0" xfId="56" applyFont="1" applyAlignment="1">
      <alignment horizontal="right"/>
      <protection/>
    </xf>
    <xf numFmtId="0" fontId="28" fillId="0" borderId="0" xfId="56" applyFont="1" applyBorder="1" applyAlignment="1">
      <alignment horizontal="left" vertical="top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0" fontId="27" fillId="0" borderId="10" xfId="56" applyFont="1" applyBorder="1" applyAlignment="1">
      <alignment horizontal="center"/>
      <protection/>
    </xf>
    <xf numFmtId="49" fontId="29" fillId="34" borderId="10" xfId="56" applyNumberFormat="1" applyFont="1" applyFill="1" applyBorder="1" applyAlignment="1">
      <alignment horizontal="center"/>
      <protection/>
    </xf>
    <xf numFmtId="49" fontId="6" fillId="34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 wrapText="1"/>
      <protection/>
    </xf>
    <xf numFmtId="49" fontId="4" fillId="34" borderId="10" xfId="56" applyNumberFormat="1" applyFont="1" applyFill="1" applyBorder="1" applyAlignment="1">
      <alignment horizontal="center"/>
      <protection/>
    </xf>
    <xf numFmtId="0" fontId="30" fillId="0" borderId="10" xfId="56" applyFont="1" applyBorder="1" applyAlignment="1">
      <alignment horizontal="justify" vertical="top"/>
      <protection/>
    </xf>
    <xf numFmtId="49" fontId="31" fillId="0" borderId="21" xfId="56" applyNumberFormat="1" applyFont="1" applyBorder="1">
      <alignment/>
      <protection/>
    </xf>
    <xf numFmtId="0" fontId="31" fillId="34" borderId="0" xfId="56" applyFont="1" applyFill="1">
      <alignment/>
      <protection/>
    </xf>
    <xf numFmtId="49" fontId="54" fillId="0" borderId="0" xfId="56" applyNumberFormat="1">
      <alignment/>
      <protection/>
    </xf>
    <xf numFmtId="0" fontId="54" fillId="0" borderId="0" xfId="56" applyAlignment="1">
      <alignment horizontal="right"/>
      <protection/>
    </xf>
    <xf numFmtId="0" fontId="27" fillId="34" borderId="0" xfId="56" applyFont="1" applyFill="1" applyAlignment="1">
      <alignment horizontal="right"/>
      <protection/>
    </xf>
    <xf numFmtId="0" fontId="54" fillId="34" borderId="0" xfId="56" applyFill="1">
      <alignment/>
      <protection/>
    </xf>
    <xf numFmtId="0" fontId="32" fillId="0" borderId="0" xfId="56" applyFont="1" applyAlignment="1">
      <alignment horizontal="right"/>
      <protection/>
    </xf>
    <xf numFmtId="0" fontId="33" fillId="0" borderId="0" xfId="56" applyFont="1">
      <alignment/>
      <protection/>
    </xf>
    <xf numFmtId="0" fontId="32" fillId="0" borderId="0" xfId="56" applyFont="1" applyFill="1" applyAlignment="1">
      <alignment horizontal="right"/>
      <protection/>
    </xf>
    <xf numFmtId="0" fontId="33" fillId="0" borderId="0" xfId="56" applyFont="1" applyFill="1">
      <alignment/>
      <protection/>
    </xf>
    <xf numFmtId="0" fontId="32" fillId="34" borderId="0" xfId="56" applyFont="1" applyFill="1" applyAlignment="1">
      <alignment horizontal="right"/>
      <protection/>
    </xf>
    <xf numFmtId="0" fontId="33" fillId="34" borderId="0" xfId="56" applyFont="1" applyFill="1">
      <alignment/>
      <protection/>
    </xf>
    <xf numFmtId="0" fontId="26" fillId="0" borderId="0" xfId="56" applyFont="1">
      <alignment/>
      <protection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4" fillId="0" borderId="10" xfId="0" applyNumberFormat="1" applyFont="1" applyBorder="1" applyAlignment="1">
      <alignment horizontal="right"/>
    </xf>
    <xf numFmtId="193" fontId="14" fillId="0" borderId="10" xfId="0" applyNumberFormat="1" applyFont="1" applyFill="1" applyBorder="1" applyAlignment="1">
      <alignment horizontal="right" wrapText="1"/>
    </xf>
    <xf numFmtId="4" fontId="4" fillId="35" borderId="10" xfId="0" applyNumberFormat="1" applyFont="1" applyFill="1" applyBorder="1" applyAlignment="1">
      <alignment vertical="top" wrapText="1"/>
    </xf>
    <xf numFmtId="4" fontId="0" fillId="35" borderId="10" xfId="0" applyNumberForma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vertical="top"/>
    </xf>
    <xf numFmtId="4" fontId="7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27" fillId="0" borderId="0" xfId="56" applyNumberFormat="1" applyFont="1">
      <alignment/>
      <protection/>
    </xf>
    <xf numFmtId="188" fontId="0" fillId="0" borderId="10" xfId="0" applyNumberForma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35" borderId="10" xfId="0" applyFont="1" applyFill="1" applyBorder="1" applyAlignment="1">
      <alignment horizontal="center" vertical="top" wrapText="1"/>
    </xf>
    <xf numFmtId="4" fontId="16" fillId="35" borderId="10" xfId="0" applyNumberFormat="1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71" fillId="33" borderId="0" xfId="0" applyFont="1" applyFill="1" applyAlignment="1">
      <alignment horizontal="justify" wrapText="1"/>
    </xf>
    <xf numFmtId="0" fontId="4" fillId="3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7" fillId="34" borderId="26" xfId="0" applyNumberFormat="1" applyFont="1" applyFill="1" applyBorder="1" applyAlignment="1">
      <alignment horizontal="left" vertical="center" wrapText="1"/>
    </xf>
    <xf numFmtId="49" fontId="54" fillId="0" borderId="10" xfId="56" applyNumberFormat="1" applyBorder="1">
      <alignment/>
      <protection/>
    </xf>
    <xf numFmtId="49" fontId="31" fillId="0" borderId="10" xfId="56" applyNumberFormat="1" applyFont="1" applyBorder="1">
      <alignment/>
      <protection/>
    </xf>
    <xf numFmtId="0" fontId="6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3" borderId="26" xfId="53" applyNumberFormat="1" applyFont="1" applyFill="1" applyBorder="1" applyAlignment="1" applyProtection="1">
      <alignment horizontal="left" vertical="top" wrapText="1"/>
      <protection hidden="1"/>
    </xf>
    <xf numFmtId="0" fontId="4" fillId="33" borderId="14" xfId="0" applyFont="1" applyFill="1" applyBorder="1" applyAlignment="1">
      <alignment wrapText="1"/>
    </xf>
    <xf numFmtId="0" fontId="4" fillId="33" borderId="27" xfId="53" applyNumberFormat="1" applyFont="1" applyFill="1" applyBorder="1" applyAlignment="1" applyProtection="1">
      <alignment vertical="top" wrapText="1"/>
      <protection hidden="1"/>
    </xf>
    <xf numFmtId="4" fontId="4" fillId="33" borderId="14" xfId="0" applyNumberFormat="1" applyFont="1" applyFill="1" applyBorder="1" applyAlignment="1">
      <alignment horizontal="right"/>
    </xf>
    <xf numFmtId="194" fontId="6" fillId="0" borderId="26" xfId="53" applyNumberFormat="1" applyFont="1" applyFill="1" applyBorder="1" applyAlignment="1" applyProtection="1">
      <alignment horizontal="left" wrapText="1"/>
      <protection hidden="1"/>
    </xf>
    <xf numFmtId="194" fontId="4" fillId="0" borderId="26" xfId="53" applyNumberFormat="1" applyFont="1" applyFill="1" applyBorder="1" applyAlignment="1" applyProtection="1">
      <alignment horizontal="left" wrapText="1"/>
      <protection hidden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34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wrapText="1"/>
    </xf>
    <xf numFmtId="0" fontId="72" fillId="0" borderId="0" xfId="0" applyFont="1" applyAlignment="1">
      <alignment/>
    </xf>
    <xf numFmtId="0" fontId="0" fillId="33" borderId="0" xfId="0" applyFont="1" applyFill="1" applyAlignment="1">
      <alignment horizontal="right"/>
    </xf>
    <xf numFmtId="193" fontId="4" fillId="35" borderId="10" xfId="0" applyNumberFormat="1" applyFont="1" applyFill="1" applyBorder="1" applyAlignment="1">
      <alignment vertical="top" wrapText="1"/>
    </xf>
    <xf numFmtId="193" fontId="4" fillId="35" borderId="10" xfId="56" applyNumberFormat="1" applyFont="1" applyFill="1" applyBorder="1" applyAlignment="1">
      <alignment horizontal="right"/>
      <protection/>
    </xf>
    <xf numFmtId="193" fontId="27" fillId="35" borderId="10" xfId="56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93" fontId="7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vertical="top" wrapText="1"/>
    </xf>
    <xf numFmtId="193" fontId="4" fillId="33" borderId="14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3" borderId="18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28" xfId="0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193" fontId="6" fillId="33" borderId="13" xfId="0" applyNumberFormat="1" applyFont="1" applyFill="1" applyBorder="1" applyAlignment="1">
      <alignment horizontal="right"/>
    </xf>
    <xf numFmtId="193" fontId="6" fillId="33" borderId="25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188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/>
    </xf>
    <xf numFmtId="4" fontId="16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/>
    </xf>
    <xf numFmtId="193" fontId="6" fillId="33" borderId="10" xfId="56" applyNumberFormat="1" applyFont="1" applyFill="1" applyBorder="1" applyAlignment="1">
      <alignment horizontal="right"/>
      <protection/>
    </xf>
    <xf numFmtId="193" fontId="4" fillId="33" borderId="10" xfId="56" applyNumberFormat="1" applyFont="1" applyFill="1" applyBorder="1" applyAlignment="1">
      <alignment horizontal="right"/>
      <protection/>
    </xf>
    <xf numFmtId="193" fontId="4" fillId="33" borderId="13" xfId="0" applyNumberFormat="1" applyFont="1" applyFill="1" applyBorder="1" applyAlignment="1">
      <alignment horizontal="right"/>
    </xf>
    <xf numFmtId="193" fontId="4" fillId="33" borderId="17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27" fillId="33" borderId="10" xfId="56" applyNumberFormat="1" applyFont="1" applyFill="1" applyBorder="1" applyAlignment="1">
      <alignment horizontal="right"/>
      <protection/>
    </xf>
    <xf numFmtId="49" fontId="4" fillId="34" borderId="21" xfId="56" applyNumberFormat="1" applyFont="1" applyFill="1" applyBorder="1" applyAlignment="1">
      <alignment horizontal="center"/>
      <protection/>
    </xf>
    <xf numFmtId="0" fontId="4" fillId="0" borderId="29" xfId="0" applyFont="1" applyBorder="1" applyAlignment="1">
      <alignment vertical="center" wrapText="1"/>
    </xf>
    <xf numFmtId="0" fontId="6" fillId="34" borderId="14" xfId="56" applyFont="1" applyFill="1" applyBorder="1" applyAlignment="1">
      <alignment horizontal="left" wrapText="1"/>
      <protection/>
    </xf>
    <xf numFmtId="0" fontId="4" fillId="34" borderId="18" xfId="56" applyFont="1" applyFill="1" applyBorder="1" applyAlignment="1">
      <alignment horizontal="left" wrapText="1"/>
      <protection/>
    </xf>
    <xf numFmtId="0" fontId="4" fillId="0" borderId="21" xfId="56" applyFont="1" applyBorder="1" applyAlignment="1">
      <alignment horizontal="center"/>
      <protection/>
    </xf>
    <xf numFmtId="193" fontId="4" fillId="33" borderId="0" xfId="0" applyNumberFormat="1" applyFont="1" applyFill="1" applyBorder="1" applyAlignment="1">
      <alignment horizontal="right"/>
    </xf>
    <xf numFmtId="193" fontId="30" fillId="33" borderId="10" xfId="56" applyNumberFormat="1" applyFont="1" applyFill="1" applyBorder="1" applyAlignment="1">
      <alignment horizontal="right"/>
      <protection/>
    </xf>
    <xf numFmtId="193" fontId="29" fillId="33" borderId="10" xfId="56" applyNumberFormat="1" applyFont="1" applyFill="1" applyBorder="1" applyAlignment="1">
      <alignment horizontal="right"/>
      <protection/>
    </xf>
    <xf numFmtId="188" fontId="6" fillId="33" borderId="10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vertical="top" wrapText="1"/>
    </xf>
    <xf numFmtId="193" fontId="16" fillId="33" borderId="10" xfId="0" applyNumberFormat="1" applyFont="1" applyFill="1" applyBorder="1" applyAlignment="1">
      <alignment vertical="top" wrapText="1"/>
    </xf>
    <xf numFmtId="193" fontId="14" fillId="33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10" xfId="56" applyFon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4" fillId="33" borderId="16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0" borderId="3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193" fontId="6" fillId="33" borderId="10" xfId="0" applyNumberFormat="1" applyFont="1" applyFill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193" fontId="54" fillId="33" borderId="10" xfId="56" applyNumberFormat="1" applyFill="1" applyBorder="1">
      <alignment/>
      <protection/>
    </xf>
    <xf numFmtId="4" fontId="4" fillId="33" borderId="10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193" fontId="4" fillId="33" borderId="32" xfId="0" applyNumberFormat="1" applyFont="1" applyFill="1" applyBorder="1" applyAlignment="1">
      <alignment horizontal="right"/>
    </xf>
    <xf numFmtId="193" fontId="4" fillId="33" borderId="18" xfId="0" applyNumberFormat="1" applyFont="1" applyFill="1" applyBorder="1" applyAlignment="1">
      <alignment horizontal="right"/>
    </xf>
    <xf numFmtId="0" fontId="71" fillId="0" borderId="0" xfId="0" applyFont="1" applyAlignment="1">
      <alignment wrapText="1"/>
    </xf>
    <xf numFmtId="0" fontId="71" fillId="0" borderId="31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26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wrapText="1"/>
    </xf>
    <xf numFmtId="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4" fillId="33" borderId="26" xfId="0" applyFont="1" applyFill="1" applyBorder="1" applyAlignment="1">
      <alignment horizontal="left" vertical="center" wrapText="1"/>
    </xf>
    <xf numFmtId="0" fontId="24" fillId="33" borderId="33" xfId="0" applyFont="1" applyFill="1" applyBorder="1" applyAlignment="1">
      <alignment horizontal="left" vertical="center" wrapText="1"/>
    </xf>
    <xf numFmtId="0" fontId="24" fillId="33" borderId="21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21" xfId="0" applyBorder="1" applyAlignment="1">
      <alignment wrapText="1"/>
    </xf>
    <xf numFmtId="0" fontId="24" fillId="33" borderId="26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center" wrapText="1"/>
    </xf>
    <xf numFmtId="0" fontId="34" fillId="33" borderId="26" xfId="0" applyFont="1" applyFill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2" fontId="24" fillId="33" borderId="2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3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4" fillId="33" borderId="26" xfId="0" applyNumberFormat="1" applyFont="1" applyFill="1" applyBorder="1" applyAlignment="1">
      <alignment horizontal="left" vertical="center" wrapText="1"/>
    </xf>
    <xf numFmtId="0" fontId="24" fillId="33" borderId="33" xfId="0" applyNumberFormat="1" applyFont="1" applyFill="1" applyBorder="1" applyAlignment="1">
      <alignment horizontal="left" vertical="center" wrapText="1"/>
    </xf>
    <xf numFmtId="0" fontId="24" fillId="33" borderId="2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14" fillId="0" borderId="26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33" borderId="0" xfId="0" applyFont="1" applyFill="1" applyAlignment="1">
      <alignment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27" fillId="0" borderId="0" xfId="56" applyNumberFormat="1" applyFont="1" applyFill="1">
      <alignment/>
      <protection/>
    </xf>
    <xf numFmtId="49" fontId="27" fillId="0" borderId="0" xfId="56" applyNumberFormat="1" applyFont="1">
      <alignment/>
      <protection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9" fontId="27" fillId="0" borderId="0" xfId="56" applyNumberFormat="1" applyFont="1" applyAlignment="1">
      <alignment wrapText="1"/>
      <protection/>
    </xf>
    <xf numFmtId="49" fontId="28" fillId="0" borderId="0" xfId="56" applyNumberFormat="1" applyFont="1" applyAlignment="1">
      <alignment horizontal="center" vertical="top"/>
      <protection/>
    </xf>
    <xf numFmtId="49" fontId="28" fillId="0" borderId="0" xfId="56" applyNumberFormat="1" applyFont="1" applyAlignment="1">
      <alignment horizontal="center" vertical="center"/>
      <protection/>
    </xf>
    <xf numFmtId="0" fontId="28" fillId="0" borderId="0" xfId="56" applyFont="1" applyBorder="1" applyAlignment="1">
      <alignment vertical="center"/>
      <protection/>
    </xf>
    <xf numFmtId="0" fontId="27" fillId="0" borderId="15" xfId="56" applyFont="1" applyBorder="1" applyAlignment="1">
      <alignment horizontal="right" vertical="top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33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49" fontId="27" fillId="0" borderId="0" xfId="56" applyNumberFormat="1" applyFont="1" applyAlignment="1">
      <alignment horizontal="left"/>
      <protection/>
    </xf>
    <xf numFmtId="0" fontId="19" fillId="0" borderId="0" xfId="0" applyFont="1" applyAlignment="1">
      <alignment horizontal="left"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4" fillId="0" borderId="18" xfId="56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22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PageLayoutView="0" workbookViewId="0" topLeftCell="A32">
      <selection activeCell="C40" sqref="C40"/>
    </sheetView>
  </sheetViews>
  <sheetFormatPr defaultColWidth="9.140625" defaultRowHeight="12.75"/>
  <cols>
    <col min="1" max="1" width="39.140625" style="0" customWidth="1"/>
    <col min="2" max="2" width="65.7109375" style="0" customWidth="1"/>
    <col min="3" max="3" width="14.57421875" style="54" customWidth="1"/>
    <col min="4" max="4" width="14.00390625" style="54" customWidth="1"/>
    <col min="5" max="5" width="14.8515625" style="54" customWidth="1"/>
  </cols>
  <sheetData>
    <row r="1" spans="3:5" ht="18" customHeight="1">
      <c r="C1" s="52"/>
      <c r="D1" s="52"/>
      <c r="E1" s="52"/>
    </row>
    <row r="2" spans="3:5" ht="18" customHeight="1">
      <c r="C2" s="323" t="s">
        <v>397</v>
      </c>
      <c r="D2" s="323"/>
      <c r="E2" s="323"/>
    </row>
    <row r="3" spans="3:5" ht="18" customHeight="1">
      <c r="C3" s="323" t="s">
        <v>616</v>
      </c>
      <c r="D3" s="323"/>
      <c r="E3" s="323"/>
    </row>
    <row r="4" spans="3:5" ht="18" customHeight="1">
      <c r="C4" s="323" t="s">
        <v>617</v>
      </c>
      <c r="D4" s="333"/>
      <c r="E4" s="333"/>
    </row>
    <row r="5" spans="3:5" ht="18" customHeight="1">
      <c r="C5" s="324" t="s">
        <v>294</v>
      </c>
      <c r="D5" s="324"/>
      <c r="E5" s="324"/>
    </row>
    <row r="6" spans="3:5" ht="18" customHeight="1">
      <c r="C6" s="52"/>
      <c r="D6" s="52"/>
      <c r="E6" s="52"/>
    </row>
    <row r="7" spans="1:7" ht="18" customHeight="1">
      <c r="A7" s="7"/>
      <c r="B7" s="7"/>
      <c r="C7" s="323" t="s">
        <v>563</v>
      </c>
      <c r="D7" s="323"/>
      <c r="E7" s="323"/>
      <c r="F7" s="3"/>
      <c r="G7" s="3"/>
    </row>
    <row r="8" spans="1:7" ht="18" customHeight="1">
      <c r="A8" s="7"/>
      <c r="B8" s="7"/>
      <c r="C8" s="323" t="s">
        <v>264</v>
      </c>
      <c r="D8" s="323"/>
      <c r="E8" s="323"/>
      <c r="F8" s="3"/>
      <c r="G8" s="3"/>
    </row>
    <row r="9" spans="1:7" ht="18" customHeight="1">
      <c r="A9" s="7"/>
      <c r="B9" s="7"/>
      <c r="C9" s="323" t="s">
        <v>626</v>
      </c>
      <c r="D9" s="323"/>
      <c r="E9" s="323"/>
      <c r="F9" s="3"/>
      <c r="G9" s="3"/>
    </row>
    <row r="10" spans="1:7" ht="18" customHeight="1">
      <c r="A10" s="7"/>
      <c r="B10" s="3"/>
      <c r="C10" s="334" t="s">
        <v>618</v>
      </c>
      <c r="D10" s="334"/>
      <c r="E10" s="334"/>
      <c r="F10" s="18"/>
      <c r="G10" s="18"/>
    </row>
    <row r="11" spans="1:7" ht="18" customHeight="1">
      <c r="A11" s="7"/>
      <c r="B11" s="47"/>
      <c r="C11" s="334" t="s">
        <v>504</v>
      </c>
      <c r="D11" s="334"/>
      <c r="E11" s="334"/>
      <c r="F11" s="3"/>
      <c r="G11" s="3"/>
    </row>
    <row r="12" spans="1:7" ht="18" customHeight="1">
      <c r="A12" s="7"/>
      <c r="B12" s="7"/>
      <c r="C12" s="49" t="s">
        <v>505</v>
      </c>
      <c r="D12" s="50"/>
      <c r="E12" s="50"/>
      <c r="F12" s="3"/>
      <c r="G12" s="3"/>
    </row>
    <row r="13" spans="1:7" ht="18" customHeight="1">
      <c r="A13" s="4"/>
      <c r="B13" s="3"/>
      <c r="C13" s="324" t="s">
        <v>556</v>
      </c>
      <c r="D13" s="324"/>
      <c r="E13" s="324"/>
      <c r="F13" s="3"/>
      <c r="G13" s="48" t="s">
        <v>503</v>
      </c>
    </row>
    <row r="14" spans="1:7" ht="23.25" customHeight="1">
      <c r="A14" s="331" t="s">
        <v>263</v>
      </c>
      <c r="B14" s="332"/>
      <c r="C14" s="332"/>
      <c r="D14" s="332"/>
      <c r="E14" s="332"/>
      <c r="F14" s="3"/>
      <c r="G14" s="3"/>
    </row>
    <row r="15" spans="1:7" ht="18.75">
      <c r="A15" s="331" t="s">
        <v>621</v>
      </c>
      <c r="B15" s="331"/>
      <c r="C15" s="332"/>
      <c r="D15" s="332"/>
      <c r="E15" s="332"/>
      <c r="F15" s="3"/>
      <c r="G15" s="3"/>
    </row>
    <row r="16" spans="1:7" ht="21" customHeight="1">
      <c r="A16" s="331" t="s">
        <v>506</v>
      </c>
      <c r="B16" s="331"/>
      <c r="C16" s="332"/>
      <c r="D16" s="332"/>
      <c r="E16" s="332"/>
      <c r="F16" s="3"/>
      <c r="G16" s="3"/>
    </row>
    <row r="17" spans="1:7" ht="30" customHeight="1">
      <c r="A17" s="3" t="s">
        <v>115</v>
      </c>
      <c r="B17" s="3"/>
      <c r="C17" s="52"/>
      <c r="D17" s="52" t="s">
        <v>117</v>
      </c>
      <c r="E17" s="52" t="s">
        <v>258</v>
      </c>
      <c r="F17" s="3"/>
      <c r="G17" s="3"/>
    </row>
    <row r="18" spans="1:7" ht="30" customHeight="1">
      <c r="A18" s="325" t="s">
        <v>116</v>
      </c>
      <c r="B18" s="327" t="s">
        <v>285</v>
      </c>
      <c r="C18" s="328" t="s">
        <v>222</v>
      </c>
      <c r="D18" s="329"/>
      <c r="E18" s="330"/>
      <c r="F18" s="3"/>
      <c r="G18" s="3"/>
    </row>
    <row r="19" spans="1:7" ht="48" customHeight="1">
      <c r="A19" s="326"/>
      <c r="B19" s="326"/>
      <c r="C19" s="53" t="s">
        <v>328</v>
      </c>
      <c r="D19" s="53" t="s">
        <v>398</v>
      </c>
      <c r="E19" s="53" t="s">
        <v>507</v>
      </c>
      <c r="F19" s="3"/>
      <c r="G19" s="3"/>
    </row>
    <row r="20" spans="1:7" ht="17.25" customHeight="1">
      <c r="A20" s="45">
        <v>1</v>
      </c>
      <c r="B20" s="45">
        <v>2</v>
      </c>
      <c r="C20" s="105">
        <v>3</v>
      </c>
      <c r="D20" s="106">
        <v>4</v>
      </c>
      <c r="E20" s="106">
        <v>5</v>
      </c>
      <c r="F20" s="3"/>
      <c r="G20" s="3"/>
    </row>
    <row r="21" spans="1:7" ht="30.75" customHeight="1" hidden="1">
      <c r="A21" s="226" t="s">
        <v>461</v>
      </c>
      <c r="B21" s="222" t="s">
        <v>479</v>
      </c>
      <c r="C21" s="186">
        <f>C22+C24</f>
        <v>0</v>
      </c>
      <c r="D21" s="186">
        <f>D23+D25</f>
        <v>0</v>
      </c>
      <c r="E21" s="186">
        <f>E23+E25</f>
        <v>0</v>
      </c>
      <c r="F21" s="3"/>
      <c r="G21" s="3"/>
    </row>
    <row r="22" spans="1:7" ht="29.25" customHeight="1" hidden="1">
      <c r="A22" s="227" t="s">
        <v>462</v>
      </c>
      <c r="B22" s="224" t="s">
        <v>478</v>
      </c>
      <c r="C22" s="225">
        <f>C23</f>
        <v>0</v>
      </c>
      <c r="D22" s="225">
        <f>D23</f>
        <v>0</v>
      </c>
      <c r="E22" s="225">
        <f>E23</f>
        <v>0</v>
      </c>
      <c r="F22" s="3"/>
      <c r="G22" s="3"/>
    </row>
    <row r="23" spans="1:7" ht="28.5" customHeight="1" hidden="1">
      <c r="A23" s="46" t="s">
        <v>463</v>
      </c>
      <c r="B23" s="223" t="s">
        <v>475</v>
      </c>
      <c r="C23" s="187">
        <v>0</v>
      </c>
      <c r="D23" s="188">
        <v>0</v>
      </c>
      <c r="E23" s="188">
        <v>0</v>
      </c>
      <c r="F23" s="3"/>
      <c r="G23" s="3"/>
    </row>
    <row r="24" spans="1:7" ht="30" customHeight="1" hidden="1">
      <c r="A24" s="46" t="s">
        <v>465</v>
      </c>
      <c r="B24" s="223" t="s">
        <v>477</v>
      </c>
      <c r="C24" s="187">
        <f>C25</f>
        <v>0</v>
      </c>
      <c r="D24" s="187">
        <f>D25</f>
        <v>0</v>
      </c>
      <c r="E24" s="187">
        <f>E25</f>
        <v>0</v>
      </c>
      <c r="F24" s="3"/>
      <c r="G24" s="3"/>
    </row>
    <row r="25" spans="1:7" ht="28.5" customHeight="1" hidden="1">
      <c r="A25" s="46" t="s">
        <v>464</v>
      </c>
      <c r="B25" s="223" t="s">
        <v>476</v>
      </c>
      <c r="C25" s="187">
        <v>0</v>
      </c>
      <c r="D25" s="188">
        <v>0</v>
      </c>
      <c r="E25" s="188">
        <v>0</v>
      </c>
      <c r="F25" s="3"/>
      <c r="G25" s="3"/>
    </row>
    <row r="26" spans="1:7" ht="48" customHeight="1">
      <c r="A26" s="307" t="s">
        <v>590</v>
      </c>
      <c r="B26" s="307" t="s">
        <v>591</v>
      </c>
      <c r="C26" s="186">
        <f>C27+C29</f>
        <v>0</v>
      </c>
      <c r="D26" s="186">
        <f>D27+D29</f>
        <v>0</v>
      </c>
      <c r="E26" s="186">
        <f>E27+E29</f>
        <v>0</v>
      </c>
      <c r="F26" s="3"/>
      <c r="G26" s="3"/>
    </row>
    <row r="27" spans="1:7" ht="48" customHeight="1">
      <c r="A27" s="308" t="s">
        <v>592</v>
      </c>
      <c r="B27" s="308" t="s">
        <v>593</v>
      </c>
      <c r="C27" s="186">
        <f>C28</f>
        <v>0</v>
      </c>
      <c r="D27" s="186">
        <f>D28</f>
        <v>0</v>
      </c>
      <c r="E27" s="186">
        <f>E28</f>
        <v>0</v>
      </c>
      <c r="F27" s="3"/>
      <c r="G27" s="3"/>
    </row>
    <row r="28" spans="1:7" ht="47.25" customHeight="1">
      <c r="A28" s="308" t="s">
        <v>594</v>
      </c>
      <c r="B28" s="308" t="s">
        <v>38</v>
      </c>
      <c r="C28" s="187">
        <v>0</v>
      </c>
      <c r="D28" s="188">
        <v>0</v>
      </c>
      <c r="E28" s="188">
        <v>0</v>
      </c>
      <c r="F28" s="3"/>
      <c r="G28" s="3"/>
    </row>
    <row r="29" spans="1:7" ht="51" customHeight="1">
      <c r="A29" s="308" t="s">
        <v>595</v>
      </c>
      <c r="B29" s="308" t="s">
        <v>596</v>
      </c>
      <c r="C29" s="187">
        <f>C30</f>
        <v>0</v>
      </c>
      <c r="D29" s="187">
        <f>D30</f>
        <v>0</v>
      </c>
      <c r="E29" s="187">
        <f>E30</f>
        <v>0</v>
      </c>
      <c r="F29" s="3"/>
      <c r="G29" s="3"/>
    </row>
    <row r="30" spans="1:7" ht="48" customHeight="1">
      <c r="A30" s="308" t="s">
        <v>597</v>
      </c>
      <c r="B30" s="308" t="s">
        <v>598</v>
      </c>
      <c r="C30" s="187">
        <v>0</v>
      </c>
      <c r="D30" s="188">
        <v>0</v>
      </c>
      <c r="E30" s="188">
        <v>0</v>
      </c>
      <c r="F30" s="3"/>
      <c r="G30" s="3"/>
    </row>
    <row r="31" spans="1:7" ht="31.5">
      <c r="A31" s="126" t="s">
        <v>466</v>
      </c>
      <c r="B31" s="127" t="s">
        <v>118</v>
      </c>
      <c r="C31" s="189">
        <f>C35+C39</f>
        <v>-3573.8</v>
      </c>
      <c r="D31" s="189">
        <f>D35+D39</f>
        <v>0</v>
      </c>
      <c r="E31" s="189">
        <f>E35+E39</f>
        <v>0</v>
      </c>
      <c r="F31" s="3"/>
      <c r="G31" s="3"/>
    </row>
    <row r="32" spans="1:7" ht="32.25" customHeight="1">
      <c r="A32" s="46" t="s">
        <v>467</v>
      </c>
      <c r="B32" s="39" t="s">
        <v>119</v>
      </c>
      <c r="C32" s="188">
        <f>C35</f>
        <v>0</v>
      </c>
      <c r="D32" s="188">
        <f>D35</f>
        <v>0</v>
      </c>
      <c r="E32" s="188">
        <f>E35</f>
        <v>0</v>
      </c>
      <c r="F32" s="3"/>
      <c r="G32" s="3"/>
    </row>
    <row r="33" spans="1:7" ht="16.5" customHeight="1">
      <c r="A33" s="46" t="s">
        <v>468</v>
      </c>
      <c r="B33" s="39" t="s">
        <v>348</v>
      </c>
      <c r="C33" s="188">
        <f>C35</f>
        <v>0</v>
      </c>
      <c r="D33" s="188">
        <f>D35</f>
        <v>0</v>
      </c>
      <c r="E33" s="188">
        <f>E35</f>
        <v>0</v>
      </c>
      <c r="F33" s="3"/>
      <c r="G33" s="3"/>
    </row>
    <row r="34" spans="1:7" ht="15.75">
      <c r="A34" s="46" t="s">
        <v>469</v>
      </c>
      <c r="B34" s="39" t="s">
        <v>120</v>
      </c>
      <c r="C34" s="188">
        <f>C35</f>
        <v>0</v>
      </c>
      <c r="D34" s="188">
        <f>D35</f>
        <v>0</v>
      </c>
      <c r="E34" s="188">
        <f>E35</f>
        <v>0</v>
      </c>
      <c r="F34" s="3"/>
      <c r="G34" s="3"/>
    </row>
    <row r="35" spans="1:7" ht="31.5">
      <c r="A35" s="46" t="s">
        <v>470</v>
      </c>
      <c r="B35" s="39" t="s">
        <v>349</v>
      </c>
      <c r="C35" s="188">
        <v>0</v>
      </c>
      <c r="D35" s="188">
        <v>0</v>
      </c>
      <c r="E35" s="188">
        <v>0</v>
      </c>
      <c r="F35" s="3"/>
      <c r="G35" s="3"/>
    </row>
    <row r="36" spans="1:7" ht="15.75">
      <c r="A36" s="46" t="s">
        <v>471</v>
      </c>
      <c r="B36" s="39" t="s">
        <v>121</v>
      </c>
      <c r="C36" s="188">
        <f>C39</f>
        <v>-3573.8</v>
      </c>
      <c r="D36" s="188">
        <f>D39</f>
        <v>0</v>
      </c>
      <c r="E36" s="188">
        <f>E39</f>
        <v>0</v>
      </c>
      <c r="F36" s="3"/>
      <c r="G36" s="3"/>
    </row>
    <row r="37" spans="1:7" ht="15.75">
      <c r="A37" s="46" t="s">
        <v>472</v>
      </c>
      <c r="B37" s="39" t="s">
        <v>122</v>
      </c>
      <c r="C37" s="188">
        <f>C39</f>
        <v>-3573.8</v>
      </c>
      <c r="D37" s="188">
        <f>D39</f>
        <v>0</v>
      </c>
      <c r="E37" s="188">
        <f>E39</f>
        <v>0</v>
      </c>
      <c r="F37" s="3"/>
      <c r="G37" s="3"/>
    </row>
    <row r="38" spans="1:7" ht="15.75">
      <c r="A38" s="46" t="s">
        <v>473</v>
      </c>
      <c r="B38" s="39" t="s">
        <v>123</v>
      </c>
      <c r="C38" s="188" t="s">
        <v>115</v>
      </c>
      <c r="E38" s="188">
        <f>E39</f>
        <v>0</v>
      </c>
      <c r="F38" s="3"/>
      <c r="G38" s="3"/>
    </row>
    <row r="39" spans="1:7" ht="31.5">
      <c r="A39" s="46" t="s">
        <v>474</v>
      </c>
      <c r="B39" s="39" t="s">
        <v>350</v>
      </c>
      <c r="C39" s="188">
        <f>1541+2500-1670+400-1992.4+400-2885.3-245.5-102.9-1518.7</f>
        <v>-3573.8</v>
      </c>
      <c r="D39" s="188">
        <v>0</v>
      </c>
      <c r="E39" s="188">
        <v>0</v>
      </c>
      <c r="F39" s="3"/>
      <c r="G39" s="3"/>
    </row>
    <row r="40" spans="1:7" ht="15.75">
      <c r="A40" s="46"/>
      <c r="B40" s="44"/>
      <c r="C40" s="187"/>
      <c r="D40" s="188"/>
      <c r="E40" s="188"/>
      <c r="F40" s="3"/>
      <c r="G40" s="3"/>
    </row>
    <row r="41" spans="1:7" ht="15.75">
      <c r="A41" s="46"/>
      <c r="B41" s="44"/>
      <c r="C41" s="187"/>
      <c r="D41" s="188"/>
      <c r="E41" s="188"/>
      <c r="F41" s="3"/>
      <c r="G41" s="3"/>
    </row>
    <row r="42" spans="1:7" ht="15.75">
      <c r="A42" s="126" t="s">
        <v>124</v>
      </c>
      <c r="B42" s="126"/>
      <c r="C42" s="189">
        <f>C21+C26+C31</f>
        <v>-3573.8</v>
      </c>
      <c r="D42" s="189">
        <f>D21+D26+D31</f>
        <v>0</v>
      </c>
      <c r="E42" s="189">
        <f>E21+E26+E31</f>
        <v>0</v>
      </c>
      <c r="F42" s="3"/>
      <c r="G42" s="3"/>
    </row>
    <row r="43" spans="1:7" ht="15.75">
      <c r="A43" s="3"/>
      <c r="B43" s="3"/>
      <c r="C43" s="52"/>
      <c r="D43" s="52"/>
      <c r="E43" s="136" t="s">
        <v>564</v>
      </c>
      <c r="F43" s="3"/>
      <c r="G43" s="3"/>
    </row>
  </sheetData>
  <sheetProtection/>
  <mergeCells count="16">
    <mergeCell ref="A16:E16"/>
    <mergeCell ref="C10:E10"/>
    <mergeCell ref="C11:E11"/>
    <mergeCell ref="C13:E13"/>
    <mergeCell ref="C8:E8"/>
    <mergeCell ref="C9:E9"/>
    <mergeCell ref="C2:E2"/>
    <mergeCell ref="C3:E3"/>
    <mergeCell ref="C5:E5"/>
    <mergeCell ref="A18:A19"/>
    <mergeCell ref="B18:B19"/>
    <mergeCell ref="C18:E18"/>
    <mergeCell ref="C7:E7"/>
    <mergeCell ref="A14:E14"/>
    <mergeCell ref="C4:E4"/>
    <mergeCell ref="A15:E15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7"/>
  <sheetViews>
    <sheetView zoomScale="98" zoomScaleNormal="98" zoomScalePageLayoutView="0" workbookViewId="0" topLeftCell="A22">
      <selection activeCell="F27" sqref="F27"/>
    </sheetView>
  </sheetViews>
  <sheetFormatPr defaultColWidth="9.140625" defaultRowHeight="12.75"/>
  <cols>
    <col min="1" max="1" width="83.140625" style="0" customWidth="1"/>
    <col min="2" max="2" width="8.00390625" style="0" customWidth="1"/>
    <col min="3" max="3" width="7.57421875" style="0" customWidth="1"/>
    <col min="4" max="4" width="15.57421875" style="0" customWidth="1"/>
    <col min="5" max="5" width="12.00390625" style="0" customWidth="1"/>
    <col min="6" max="6" width="12.7109375" style="0" customWidth="1"/>
  </cols>
  <sheetData>
    <row r="1" spans="1:6" ht="20.25" customHeight="1">
      <c r="A1" s="10"/>
      <c r="B1" s="10"/>
      <c r="C1" s="10"/>
      <c r="D1" s="10"/>
      <c r="E1" s="10"/>
      <c r="F1" s="17"/>
    </row>
    <row r="2" spans="1:6" ht="18" customHeight="1">
      <c r="A2" s="10"/>
      <c r="B2" s="10"/>
      <c r="C2" s="10"/>
      <c r="D2" s="346" t="s">
        <v>605</v>
      </c>
      <c r="E2" s="424"/>
      <c r="F2" s="424"/>
    </row>
    <row r="3" spans="1:6" ht="18" customHeight="1">
      <c r="A3" s="10"/>
      <c r="B3" s="10"/>
      <c r="C3" s="10"/>
      <c r="D3" s="346" t="s">
        <v>264</v>
      </c>
      <c r="E3" s="424"/>
      <c r="F3" s="424"/>
    </row>
    <row r="4" spans="1:6" ht="18" customHeight="1">
      <c r="A4" s="10"/>
      <c r="B4" s="10"/>
      <c r="C4" s="10"/>
      <c r="D4" s="346" t="s">
        <v>293</v>
      </c>
      <c r="E4" s="424"/>
      <c r="F4" s="424"/>
    </row>
    <row r="5" spans="1:6" ht="20.25" customHeight="1">
      <c r="A5" s="10"/>
      <c r="B5" s="10"/>
      <c r="C5" s="10"/>
      <c r="D5" s="10"/>
      <c r="E5" s="10"/>
      <c r="F5" s="17"/>
    </row>
    <row r="6" spans="1:6" ht="18" customHeight="1">
      <c r="A6" s="10"/>
      <c r="B6" s="10"/>
      <c r="C6" s="10"/>
      <c r="D6" s="323" t="s">
        <v>533</v>
      </c>
      <c r="E6" s="323"/>
      <c r="F6" s="323"/>
    </row>
    <row r="7" spans="1:6" ht="18" customHeight="1">
      <c r="A7" s="10"/>
      <c r="B7" s="10"/>
      <c r="C7" s="10"/>
      <c r="D7" s="323" t="s">
        <v>264</v>
      </c>
      <c r="E7" s="323"/>
      <c r="F7" s="323"/>
    </row>
    <row r="8" spans="1:6" ht="18" customHeight="1">
      <c r="A8" s="10"/>
      <c r="B8" s="10"/>
      <c r="C8" s="10"/>
      <c r="D8" s="323" t="s">
        <v>267</v>
      </c>
      <c r="E8" s="323"/>
      <c r="F8" s="323"/>
    </row>
    <row r="9" spans="1:6" ht="18" customHeight="1">
      <c r="A9" s="10"/>
      <c r="B9" s="10"/>
      <c r="C9" s="10"/>
      <c r="D9" s="334" t="s">
        <v>268</v>
      </c>
      <c r="E9" s="334"/>
      <c r="F9" s="334"/>
    </row>
    <row r="10" spans="1:6" ht="18" customHeight="1">
      <c r="A10" s="10"/>
      <c r="B10" s="10"/>
      <c r="C10" s="10"/>
      <c r="D10" s="334" t="s">
        <v>504</v>
      </c>
      <c r="E10" s="334"/>
      <c r="F10" s="334"/>
    </row>
    <row r="11" spans="1:6" ht="18" customHeight="1">
      <c r="A11" s="10"/>
      <c r="B11" s="10"/>
      <c r="C11" s="10"/>
      <c r="D11" s="49" t="s">
        <v>505</v>
      </c>
      <c r="E11" s="50"/>
      <c r="F11" s="50"/>
    </row>
    <row r="12" spans="1:6" ht="18" customHeight="1">
      <c r="A12" s="10"/>
      <c r="B12" s="10"/>
      <c r="C12" s="10"/>
      <c r="D12" s="324" t="s">
        <v>556</v>
      </c>
      <c r="E12" s="324"/>
      <c r="F12" s="324"/>
    </row>
    <row r="13" spans="1:6" ht="20.25" customHeight="1">
      <c r="A13" s="10"/>
      <c r="B13" s="10"/>
      <c r="C13" s="10"/>
      <c r="D13" s="10"/>
      <c r="E13" s="10"/>
      <c r="F13" s="18"/>
    </row>
    <row r="14" spans="1:6" ht="17.25" customHeight="1">
      <c r="A14" s="10"/>
      <c r="B14" s="10"/>
      <c r="C14" s="10"/>
      <c r="D14" s="10"/>
      <c r="E14" s="10"/>
      <c r="F14" s="10"/>
    </row>
    <row r="15" spans="1:6" ht="17.25" customHeight="1">
      <c r="A15" s="422" t="s">
        <v>276</v>
      </c>
      <c r="B15" s="422"/>
      <c r="C15" s="422"/>
      <c r="D15" s="422"/>
      <c r="E15" s="422"/>
      <c r="F15" s="422"/>
    </row>
    <row r="16" spans="1:6" ht="23.25" customHeight="1">
      <c r="A16" s="423" t="s">
        <v>530</v>
      </c>
      <c r="B16" s="423"/>
      <c r="C16" s="423"/>
      <c r="D16" s="423"/>
      <c r="E16" s="423"/>
      <c r="F16" s="423"/>
    </row>
    <row r="17" spans="1:6" ht="24" customHeight="1">
      <c r="A17" s="423" t="s">
        <v>82</v>
      </c>
      <c r="B17" s="423"/>
      <c r="C17" s="423"/>
      <c r="D17" s="423"/>
      <c r="E17" s="423"/>
      <c r="F17" s="423"/>
    </row>
    <row r="18" spans="1:6" ht="24.75" customHeight="1">
      <c r="A18" s="423" t="s">
        <v>514</v>
      </c>
      <c r="B18" s="423"/>
      <c r="C18" s="423"/>
      <c r="D18" s="423"/>
      <c r="E18" s="423"/>
      <c r="F18" s="423"/>
    </row>
    <row r="19" spans="1:6" ht="39.75" customHeight="1">
      <c r="A19" s="10"/>
      <c r="B19" s="10"/>
      <c r="C19" s="10"/>
      <c r="D19" s="10"/>
      <c r="E19" s="10"/>
      <c r="F19" s="3" t="s">
        <v>257</v>
      </c>
    </row>
    <row r="20" spans="1:6" ht="21.75" customHeight="1">
      <c r="A20" s="425"/>
      <c r="B20" s="426" t="s">
        <v>112</v>
      </c>
      <c r="C20" s="426" t="s">
        <v>113</v>
      </c>
      <c r="D20" s="426" t="s">
        <v>114</v>
      </c>
      <c r="E20" s="426" t="s">
        <v>112</v>
      </c>
      <c r="F20" s="45" t="s">
        <v>15</v>
      </c>
    </row>
    <row r="21" spans="1:6" ht="24" customHeight="1">
      <c r="A21" s="396"/>
      <c r="B21" s="396"/>
      <c r="C21" s="396"/>
      <c r="D21" s="396"/>
      <c r="E21" s="396"/>
      <c r="F21" s="58" t="s">
        <v>326</v>
      </c>
    </row>
    <row r="22" spans="1:6" ht="34.5" customHeight="1">
      <c r="A22" s="120" t="s">
        <v>252</v>
      </c>
      <c r="B22" s="122">
        <v>156</v>
      </c>
      <c r="C22" s="121" t="s">
        <v>79</v>
      </c>
      <c r="D22" s="122">
        <v>9100090110</v>
      </c>
      <c r="E22" s="122">
        <v>540</v>
      </c>
      <c r="F22" s="141">
        <v>444.1</v>
      </c>
    </row>
    <row r="23" spans="1:6" ht="66.75" customHeight="1">
      <c r="A23" s="120" t="s">
        <v>367</v>
      </c>
      <c r="B23" s="122">
        <v>156</v>
      </c>
      <c r="C23" s="121" t="s">
        <v>79</v>
      </c>
      <c r="D23" s="122">
        <v>9100090120</v>
      </c>
      <c r="E23" s="122">
        <v>540</v>
      </c>
      <c r="F23" s="264">
        <v>136.7</v>
      </c>
    </row>
    <row r="24" spans="1:6" ht="65.25" customHeight="1">
      <c r="A24" s="120" t="s">
        <v>365</v>
      </c>
      <c r="B24" s="121">
        <v>156</v>
      </c>
      <c r="C24" s="121" t="s">
        <v>79</v>
      </c>
      <c r="D24" s="121">
        <v>9100090150</v>
      </c>
      <c r="E24" s="121">
        <v>540</v>
      </c>
      <c r="F24" s="264">
        <f>84.5-7.9</f>
        <v>76.6</v>
      </c>
    </row>
    <row r="25" spans="1:6" s="31" customFormat="1" ht="51" customHeight="1">
      <c r="A25" s="120" t="s">
        <v>366</v>
      </c>
      <c r="B25" s="122">
        <v>156</v>
      </c>
      <c r="C25" s="121" t="s">
        <v>79</v>
      </c>
      <c r="D25" s="122">
        <v>9100090160</v>
      </c>
      <c r="E25" s="122">
        <v>540</v>
      </c>
      <c r="F25" s="264">
        <v>122.8</v>
      </c>
    </row>
    <row r="26" spans="1:6" s="31" customFormat="1" ht="35.25" customHeight="1">
      <c r="A26" s="120" t="s">
        <v>534</v>
      </c>
      <c r="B26" s="122">
        <v>156</v>
      </c>
      <c r="C26" s="121" t="s">
        <v>79</v>
      </c>
      <c r="D26" s="122">
        <v>9100090210</v>
      </c>
      <c r="E26" s="122">
        <v>540</v>
      </c>
      <c r="F26" s="264">
        <f>424.1-5.6</f>
        <v>418.5</v>
      </c>
    </row>
    <row r="27" spans="1:6" s="31" customFormat="1" ht="35.25" customHeight="1">
      <c r="A27" s="84" t="s">
        <v>253</v>
      </c>
      <c r="B27" s="122">
        <v>156</v>
      </c>
      <c r="C27" s="121" t="s">
        <v>79</v>
      </c>
      <c r="D27" s="122">
        <v>9100090220</v>
      </c>
      <c r="E27" s="122">
        <v>540</v>
      </c>
      <c r="F27" s="264">
        <v>153.1</v>
      </c>
    </row>
    <row r="28" spans="1:6" s="31" customFormat="1" ht="36" customHeight="1">
      <c r="A28" s="120" t="s">
        <v>368</v>
      </c>
      <c r="B28" s="122">
        <v>156</v>
      </c>
      <c r="C28" s="121" t="s">
        <v>80</v>
      </c>
      <c r="D28" s="122">
        <v>9100090130</v>
      </c>
      <c r="E28" s="122">
        <v>540</v>
      </c>
      <c r="F28" s="264">
        <f>78.2-0.7</f>
        <v>77.5</v>
      </c>
    </row>
    <row r="29" spans="1:6" s="31" customFormat="1" ht="48" customHeight="1">
      <c r="A29" s="84" t="s">
        <v>371</v>
      </c>
      <c r="B29" s="122">
        <v>156</v>
      </c>
      <c r="C29" s="121" t="s">
        <v>261</v>
      </c>
      <c r="D29" s="122">
        <v>9100090140</v>
      </c>
      <c r="E29" s="122">
        <v>540</v>
      </c>
      <c r="F29" s="264">
        <v>593.9</v>
      </c>
    </row>
    <row r="30" spans="1:6" s="31" customFormat="1" ht="64.5" customHeight="1">
      <c r="A30" s="120" t="s">
        <v>364</v>
      </c>
      <c r="B30" s="122">
        <v>156</v>
      </c>
      <c r="C30" s="121" t="s">
        <v>261</v>
      </c>
      <c r="D30" s="122">
        <v>9100090190</v>
      </c>
      <c r="E30" s="122">
        <v>540</v>
      </c>
      <c r="F30" s="264">
        <f>344.2-1.3</f>
        <v>342.9</v>
      </c>
    </row>
    <row r="31" spans="1:6" s="31" customFormat="1" ht="22.5" customHeight="1">
      <c r="A31" s="120" t="s">
        <v>372</v>
      </c>
      <c r="B31" s="122">
        <v>156</v>
      </c>
      <c r="C31" s="121" t="s">
        <v>261</v>
      </c>
      <c r="D31" s="122">
        <v>9100090200</v>
      </c>
      <c r="E31" s="122">
        <v>540</v>
      </c>
      <c r="F31" s="264">
        <f>435.4-6.1</f>
        <v>429.29999999999995</v>
      </c>
    </row>
    <row r="32" spans="1:6" s="31" customFormat="1" ht="49.5" customHeight="1">
      <c r="A32" s="120" t="s">
        <v>369</v>
      </c>
      <c r="B32" s="122">
        <v>156</v>
      </c>
      <c r="C32" s="121" t="s">
        <v>261</v>
      </c>
      <c r="D32" s="122">
        <v>9100090230</v>
      </c>
      <c r="E32" s="122">
        <v>540</v>
      </c>
      <c r="F32" s="264">
        <v>1108.2</v>
      </c>
    </row>
    <row r="33" spans="1:6" s="31" customFormat="1" ht="39" customHeight="1">
      <c r="A33" s="120" t="s">
        <v>299</v>
      </c>
      <c r="B33" s="122">
        <v>156</v>
      </c>
      <c r="C33" s="121" t="s">
        <v>261</v>
      </c>
      <c r="D33" s="122">
        <v>9100090260</v>
      </c>
      <c r="E33" s="122">
        <v>540</v>
      </c>
      <c r="F33" s="264">
        <v>0.4</v>
      </c>
    </row>
    <row r="34" spans="1:6" s="31" customFormat="1" ht="50.25" customHeight="1">
      <c r="A34" s="120" t="s">
        <v>426</v>
      </c>
      <c r="B34" s="122">
        <v>156</v>
      </c>
      <c r="C34" s="121" t="s">
        <v>261</v>
      </c>
      <c r="D34" s="141">
        <v>9100090280</v>
      </c>
      <c r="E34" s="122">
        <v>540</v>
      </c>
      <c r="F34" s="264">
        <v>111.3</v>
      </c>
    </row>
    <row r="35" spans="1:6" s="31" customFormat="1" ht="31.5" customHeight="1">
      <c r="A35" s="120" t="s">
        <v>375</v>
      </c>
      <c r="B35" s="122">
        <v>156</v>
      </c>
      <c r="C35" s="121" t="s">
        <v>81</v>
      </c>
      <c r="D35" s="122">
        <v>9100090170</v>
      </c>
      <c r="E35" s="122">
        <v>540</v>
      </c>
      <c r="F35" s="265">
        <v>25.2</v>
      </c>
    </row>
    <row r="36" spans="1:6" s="31" customFormat="1" ht="15.75">
      <c r="A36" s="123" t="s">
        <v>262</v>
      </c>
      <c r="B36" s="120"/>
      <c r="C36" s="120"/>
      <c r="D36" s="120"/>
      <c r="E36" s="120"/>
      <c r="F36" s="290">
        <f>SUM(F22:F35)</f>
        <v>4040.4999999999995</v>
      </c>
    </row>
    <row r="37" ht="12.75">
      <c r="F37" s="132"/>
    </row>
  </sheetData>
  <sheetProtection/>
  <mergeCells count="18">
    <mergeCell ref="A17:F17"/>
    <mergeCell ref="A18:F18"/>
    <mergeCell ref="D9:F9"/>
    <mergeCell ref="D10:F10"/>
    <mergeCell ref="D12:F12"/>
    <mergeCell ref="A20:A21"/>
    <mergeCell ref="B20:B21"/>
    <mergeCell ref="C20:C21"/>
    <mergeCell ref="D20:D21"/>
    <mergeCell ref="E20:E21"/>
    <mergeCell ref="A15:F15"/>
    <mergeCell ref="A16:F16"/>
    <mergeCell ref="D2:F2"/>
    <mergeCell ref="D3:F3"/>
    <mergeCell ref="D4:F4"/>
    <mergeCell ref="D6:F6"/>
    <mergeCell ref="D7:F7"/>
    <mergeCell ref="D8:F8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J45"/>
  <sheetViews>
    <sheetView tabSelected="1" workbookViewId="0" topLeftCell="A14">
      <selection activeCell="C47" sqref="C47:C48"/>
    </sheetView>
  </sheetViews>
  <sheetFormatPr defaultColWidth="9.140625" defaultRowHeight="12.75"/>
  <cols>
    <col min="1" max="1" width="65.7109375" style="0" customWidth="1"/>
    <col min="2" max="2" width="28.140625" style="0" customWidth="1"/>
    <col min="3" max="4" width="13.140625" style="0" customWidth="1"/>
    <col min="5" max="5" width="14.421875" style="0" customWidth="1"/>
  </cols>
  <sheetData>
    <row r="2" spans="3:5" ht="18" customHeight="1">
      <c r="C2" s="346" t="s">
        <v>663</v>
      </c>
      <c r="D2" s="346"/>
      <c r="E2" s="346"/>
    </row>
    <row r="3" spans="3:5" ht="18" customHeight="1">
      <c r="C3" s="346" t="s">
        <v>616</v>
      </c>
      <c r="D3" s="346"/>
      <c r="E3" s="346"/>
    </row>
    <row r="4" spans="3:5" ht="18" customHeight="1">
      <c r="C4" s="347" t="s">
        <v>617</v>
      </c>
      <c r="D4" s="333"/>
      <c r="E4" s="333"/>
    </row>
    <row r="5" spans="3:5" ht="18" customHeight="1">
      <c r="C5" s="346" t="s">
        <v>293</v>
      </c>
      <c r="D5" s="346"/>
      <c r="E5" s="346"/>
    </row>
    <row r="6" ht="18" customHeight="1"/>
    <row r="7" spans="2:5" ht="18" customHeight="1">
      <c r="B7" s="17"/>
      <c r="C7" s="377" t="s">
        <v>446</v>
      </c>
      <c r="D7" s="377"/>
      <c r="E7" s="377"/>
    </row>
    <row r="8" spans="3:5" ht="63" customHeight="1">
      <c r="C8" s="377" t="s">
        <v>632</v>
      </c>
      <c r="D8" s="377"/>
      <c r="E8" s="377"/>
    </row>
    <row r="9" spans="3:8" ht="17.25" customHeight="1">
      <c r="C9" s="377" t="s">
        <v>556</v>
      </c>
      <c r="D9" s="377"/>
      <c r="E9" s="377"/>
      <c r="G9" s="370"/>
      <c r="H9" s="370"/>
    </row>
    <row r="10" spans="3:10" ht="15.75" customHeight="1">
      <c r="C10" s="334"/>
      <c r="D10" s="334"/>
      <c r="E10" s="334"/>
      <c r="G10" s="433" t="s">
        <v>271</v>
      </c>
      <c r="H10" s="433"/>
      <c r="I10" s="400"/>
      <c r="J10" s="400"/>
    </row>
    <row r="11" spans="1:9" ht="18.75">
      <c r="A11" s="427" t="s">
        <v>83</v>
      </c>
      <c r="B11" s="427"/>
      <c r="C11" s="427"/>
      <c r="D11" s="427"/>
      <c r="E11" s="427"/>
      <c r="G11" s="394"/>
      <c r="H11" s="394"/>
      <c r="I11" s="394"/>
    </row>
    <row r="12" spans="1:7" ht="32.25" customHeight="1">
      <c r="A12" s="427" t="s">
        <v>633</v>
      </c>
      <c r="B12" s="427"/>
      <c r="C12" s="427"/>
      <c r="D12" s="427"/>
      <c r="E12" s="427"/>
      <c r="G12" s="68"/>
    </row>
    <row r="13" spans="5:9" ht="18.75" customHeight="1">
      <c r="E13" s="8" t="s">
        <v>258</v>
      </c>
      <c r="G13" s="323"/>
      <c r="H13" s="323"/>
      <c r="I13" s="323"/>
    </row>
    <row r="14" spans="1:9" ht="18.75" customHeight="1">
      <c r="A14" s="434" t="s">
        <v>142</v>
      </c>
      <c r="B14" s="434" t="s">
        <v>14</v>
      </c>
      <c r="C14" s="428" t="s">
        <v>15</v>
      </c>
      <c r="D14" s="429"/>
      <c r="E14" s="430"/>
      <c r="G14" s="323"/>
      <c r="H14" s="323"/>
      <c r="I14" s="323"/>
    </row>
    <row r="15" spans="1:9" ht="15.75" customHeight="1">
      <c r="A15" s="435"/>
      <c r="B15" s="436"/>
      <c r="C15" s="45" t="s">
        <v>326</v>
      </c>
      <c r="D15" s="45" t="s">
        <v>399</v>
      </c>
      <c r="E15" s="45" t="s">
        <v>512</v>
      </c>
      <c r="G15" s="334"/>
      <c r="H15" s="334"/>
      <c r="I15" s="334"/>
    </row>
    <row r="16" spans="1:9" ht="14.25" customHeight="1">
      <c r="A16" s="137">
        <v>1</v>
      </c>
      <c r="B16" s="138">
        <v>2</v>
      </c>
      <c r="C16" s="205">
        <v>3</v>
      </c>
      <c r="D16" s="119">
        <v>4</v>
      </c>
      <c r="E16" s="119">
        <v>5</v>
      </c>
      <c r="G16" s="334"/>
      <c r="H16" s="334"/>
      <c r="I16" s="334"/>
    </row>
    <row r="17" spans="1:9" ht="12.75" customHeight="1">
      <c r="A17" s="239" t="s">
        <v>295</v>
      </c>
      <c r="B17" s="248"/>
      <c r="C17" s="249">
        <v>174.2</v>
      </c>
      <c r="D17" s="250">
        <v>0</v>
      </c>
      <c r="E17" s="249">
        <v>0</v>
      </c>
      <c r="G17" s="129"/>
      <c r="H17" s="129"/>
      <c r="I17" s="129"/>
    </row>
    <row r="18" spans="1:9" ht="15.75">
      <c r="A18" s="437" t="s">
        <v>16</v>
      </c>
      <c r="B18" s="438"/>
      <c r="C18" s="438"/>
      <c r="D18" s="243"/>
      <c r="E18" s="251"/>
      <c r="G18" s="49"/>
      <c r="H18" s="63"/>
      <c r="I18" s="63"/>
    </row>
    <row r="19" spans="1:9" ht="15.75" hidden="1">
      <c r="A19" s="252" t="s">
        <v>321</v>
      </c>
      <c r="B19" s="253" t="s">
        <v>322</v>
      </c>
      <c r="C19" s="254">
        <v>0</v>
      </c>
      <c r="D19" s="255">
        <v>0</v>
      </c>
      <c r="E19" s="255">
        <v>0</v>
      </c>
      <c r="G19" s="49"/>
      <c r="H19" s="63"/>
      <c r="I19" s="63"/>
    </row>
    <row r="20" spans="1:9" ht="47.25">
      <c r="A20" s="256" t="s">
        <v>17</v>
      </c>
      <c r="B20" s="193" t="s">
        <v>18</v>
      </c>
      <c r="C20" s="257">
        <f>757.4+182</f>
        <v>939.4</v>
      </c>
      <c r="D20" s="255">
        <v>783.7</v>
      </c>
      <c r="E20" s="255">
        <v>832.5</v>
      </c>
      <c r="G20" s="324"/>
      <c r="H20" s="324"/>
      <c r="I20" s="324"/>
    </row>
    <row r="21" spans="1:5" ht="63">
      <c r="A21" s="256" t="s">
        <v>19</v>
      </c>
      <c r="B21" s="193" t="s">
        <v>20</v>
      </c>
      <c r="C21" s="257">
        <v>1453.1</v>
      </c>
      <c r="D21" s="255">
        <v>1503.5</v>
      </c>
      <c r="E21" s="255">
        <v>1597.2</v>
      </c>
    </row>
    <row r="22" spans="1:5" ht="94.5">
      <c r="A22" s="258" t="s">
        <v>21</v>
      </c>
      <c r="B22" s="193" t="s">
        <v>22</v>
      </c>
      <c r="C22" s="257">
        <v>7.5</v>
      </c>
      <c r="D22" s="255">
        <v>7.8</v>
      </c>
      <c r="E22" s="255">
        <v>8.3</v>
      </c>
    </row>
    <row r="23" spans="1:5" ht="78.75" hidden="1">
      <c r="A23" s="256" t="s">
        <v>23</v>
      </c>
      <c r="B23" s="193" t="s">
        <v>24</v>
      </c>
      <c r="C23" s="257">
        <v>0</v>
      </c>
      <c r="D23" s="255">
        <v>0</v>
      </c>
      <c r="E23" s="255">
        <v>0</v>
      </c>
    </row>
    <row r="24" spans="1:5" ht="30.75" customHeight="1">
      <c r="A24" s="256" t="s">
        <v>422</v>
      </c>
      <c r="B24" s="193" t="s">
        <v>487</v>
      </c>
      <c r="C24" s="257">
        <f>1533.5+1200+15128.6+4795.4-598-96.8</f>
        <v>21962.7</v>
      </c>
      <c r="D24" s="255">
        <v>0</v>
      </c>
      <c r="E24" s="255">
        <v>0</v>
      </c>
    </row>
    <row r="25" spans="1:5" ht="31.5" hidden="1">
      <c r="A25" s="256" t="s">
        <v>244</v>
      </c>
      <c r="B25" s="193" t="s">
        <v>320</v>
      </c>
      <c r="C25" s="257">
        <v>0</v>
      </c>
      <c r="D25" s="255">
        <v>0</v>
      </c>
      <c r="E25" s="255">
        <v>0</v>
      </c>
    </row>
    <row r="26" spans="1:5" ht="15.75">
      <c r="A26" s="259" t="s">
        <v>26</v>
      </c>
      <c r="B26" s="193"/>
      <c r="C26" s="260">
        <f>C19+C20+C21+C22+C23+C24+C25</f>
        <v>24362.7</v>
      </c>
      <c r="D26" s="260">
        <f>D20+D21+D22+D23+D24+D25</f>
        <v>2295</v>
      </c>
      <c r="E26" s="261">
        <f>E20+E21+E22+E23+E24+E25</f>
        <v>2438</v>
      </c>
    </row>
    <row r="27" spans="1:5" ht="15.75">
      <c r="A27" s="431" t="s">
        <v>27</v>
      </c>
      <c r="B27" s="432"/>
      <c r="C27" s="432"/>
      <c r="D27" s="71"/>
      <c r="E27" s="204"/>
    </row>
    <row r="28" spans="1:5" ht="15.75">
      <c r="A28" s="23" t="s">
        <v>196</v>
      </c>
      <c r="B28" s="37" t="s">
        <v>28</v>
      </c>
      <c r="C28" s="262">
        <f>C29</f>
        <v>24536.899999999998</v>
      </c>
      <c r="D28" s="263">
        <f>D29</f>
        <v>2295</v>
      </c>
      <c r="E28" s="263">
        <f>E29</f>
        <v>2438</v>
      </c>
    </row>
    <row r="29" spans="1:5" ht="15.75">
      <c r="A29" s="23" t="s">
        <v>154</v>
      </c>
      <c r="B29" s="37" t="s">
        <v>29</v>
      </c>
      <c r="C29" s="257">
        <f>C30+C31+C32+C33+C34+C35+C36+C37+C38+C39+C40+C41</f>
        <v>24536.899999999998</v>
      </c>
      <c r="D29" s="257">
        <f>D30+D31+D32+D33+D34+D35+D36+D37+D38+D39+D40+D41</f>
        <v>2295</v>
      </c>
      <c r="E29" s="257">
        <f>E30+E31+E32+E33+E34+E35+E36+E37+E38+E39+E40+E41</f>
        <v>2438</v>
      </c>
    </row>
    <row r="30" spans="1:5" ht="22.5" customHeight="1">
      <c r="A30" s="140" t="s">
        <v>300</v>
      </c>
      <c r="B30" s="37" t="s">
        <v>664</v>
      </c>
      <c r="C30" s="257">
        <v>30</v>
      </c>
      <c r="D30" s="255">
        <v>0</v>
      </c>
      <c r="E30" s="255">
        <v>0</v>
      </c>
    </row>
    <row r="31" spans="1:5" ht="22.5" customHeight="1">
      <c r="A31" s="140" t="s">
        <v>300</v>
      </c>
      <c r="B31" s="37" t="s">
        <v>571</v>
      </c>
      <c r="C31" s="257">
        <f>2143+500</f>
        <v>2643</v>
      </c>
      <c r="D31" s="255">
        <v>2295</v>
      </c>
      <c r="E31" s="255">
        <v>2438</v>
      </c>
    </row>
    <row r="32" spans="1:5" ht="29.25" customHeight="1">
      <c r="A32" s="196" t="s">
        <v>304</v>
      </c>
      <c r="B32" s="37" t="s">
        <v>656</v>
      </c>
      <c r="C32" s="257">
        <f>401.7+180.4</f>
        <v>582.1</v>
      </c>
      <c r="D32" s="255">
        <v>0</v>
      </c>
      <c r="E32" s="255">
        <v>0</v>
      </c>
    </row>
    <row r="33" spans="1:5" ht="32.25" customHeight="1">
      <c r="A33" s="196" t="s">
        <v>304</v>
      </c>
      <c r="B33" s="37" t="s">
        <v>499</v>
      </c>
      <c r="C33" s="257">
        <v>160</v>
      </c>
      <c r="D33" s="255">
        <v>0</v>
      </c>
      <c r="E33" s="255">
        <v>0</v>
      </c>
    </row>
    <row r="34" spans="1:5" ht="57" customHeight="1">
      <c r="A34" s="196" t="s">
        <v>305</v>
      </c>
      <c r="B34" s="37" t="s">
        <v>572</v>
      </c>
      <c r="C34" s="257">
        <f>1033.5+200-206.3-126.8</f>
        <v>900.4000000000001</v>
      </c>
      <c r="D34" s="255">
        <v>0</v>
      </c>
      <c r="E34" s="255">
        <v>0</v>
      </c>
    </row>
    <row r="35" spans="1:5" ht="30.75" customHeight="1" hidden="1">
      <c r="A35" s="196" t="s">
        <v>304</v>
      </c>
      <c r="B35" s="37" t="s">
        <v>395</v>
      </c>
      <c r="C35" s="257"/>
      <c r="D35" s="255">
        <v>0</v>
      </c>
      <c r="E35" s="255">
        <v>0</v>
      </c>
    </row>
    <row r="36" spans="1:5" ht="28.5" customHeight="1">
      <c r="A36" s="196" t="s">
        <v>304</v>
      </c>
      <c r="B36" s="37" t="s">
        <v>436</v>
      </c>
      <c r="C36" s="257">
        <f>15128.6+4795.4-953.4-180.4</f>
        <v>18790.199999999997</v>
      </c>
      <c r="D36" s="255">
        <v>0</v>
      </c>
      <c r="E36" s="255">
        <v>0</v>
      </c>
    </row>
    <row r="37" spans="1:5" ht="18.75" customHeight="1" hidden="1">
      <c r="A37" s="140" t="s">
        <v>300</v>
      </c>
      <c r="B37" s="37" t="s">
        <v>480</v>
      </c>
      <c r="C37" s="257"/>
      <c r="D37" s="255">
        <v>0</v>
      </c>
      <c r="E37" s="255">
        <v>0</v>
      </c>
    </row>
    <row r="38" spans="1:5" ht="21.75" customHeight="1">
      <c r="A38" s="140" t="s">
        <v>300</v>
      </c>
      <c r="B38" s="193" t="s">
        <v>573</v>
      </c>
      <c r="C38" s="257">
        <f>75+174.2+1000+182</f>
        <v>1431.2</v>
      </c>
      <c r="D38" s="255">
        <v>0</v>
      </c>
      <c r="E38" s="255">
        <v>0</v>
      </c>
    </row>
    <row r="39" spans="1:5" ht="63" customHeight="1" hidden="1">
      <c r="A39" s="196" t="s">
        <v>304</v>
      </c>
      <c r="B39" s="37" t="s">
        <v>436</v>
      </c>
      <c r="C39" s="257">
        <v>0</v>
      </c>
      <c r="D39" s="255">
        <v>0</v>
      </c>
      <c r="E39" s="255">
        <v>0</v>
      </c>
    </row>
    <row r="40" spans="1:5" ht="46.5" customHeight="1" hidden="1">
      <c r="A40" s="140" t="s">
        <v>300</v>
      </c>
      <c r="B40" s="37" t="s">
        <v>437</v>
      </c>
      <c r="C40" s="257">
        <v>0</v>
      </c>
      <c r="D40" s="255">
        <v>0</v>
      </c>
      <c r="E40" s="255">
        <v>0</v>
      </c>
    </row>
    <row r="41" spans="1:5" ht="78" customHeight="1" hidden="1">
      <c r="A41" s="140" t="s">
        <v>306</v>
      </c>
      <c r="B41" s="37" t="s">
        <v>303</v>
      </c>
      <c r="C41" s="257">
        <v>0</v>
      </c>
      <c r="D41" s="255">
        <v>0</v>
      </c>
      <c r="E41" s="255">
        <v>0</v>
      </c>
    </row>
    <row r="42" spans="1:5" ht="15.75">
      <c r="A42" s="72" t="s">
        <v>30</v>
      </c>
      <c r="B42" s="73"/>
      <c r="C42" s="262">
        <f>C28</f>
        <v>24536.899999999998</v>
      </c>
      <c r="D42" s="262">
        <f>D28</f>
        <v>2295</v>
      </c>
      <c r="E42" s="263">
        <f>E28</f>
        <v>2438</v>
      </c>
    </row>
    <row r="43" ht="12.75">
      <c r="E43" s="132" t="s">
        <v>564</v>
      </c>
    </row>
    <row r="45" ht="12.75">
      <c r="D45" s="97"/>
    </row>
  </sheetData>
  <sheetProtection/>
  <mergeCells count="23">
    <mergeCell ref="A27:C27"/>
    <mergeCell ref="G10:J10"/>
    <mergeCell ref="A14:A15"/>
    <mergeCell ref="B14:B15"/>
    <mergeCell ref="A18:C18"/>
    <mergeCell ref="G16:I16"/>
    <mergeCell ref="G20:I20"/>
    <mergeCell ref="G13:I13"/>
    <mergeCell ref="G14:I14"/>
    <mergeCell ref="G15:I15"/>
    <mergeCell ref="G9:H9"/>
    <mergeCell ref="G11:I11"/>
    <mergeCell ref="C10:E10"/>
    <mergeCell ref="C7:E7"/>
    <mergeCell ref="C8:E8"/>
    <mergeCell ref="C9:E9"/>
    <mergeCell ref="A11:E11"/>
    <mergeCell ref="A12:E12"/>
    <mergeCell ref="C14:E14"/>
    <mergeCell ref="C4:E4"/>
    <mergeCell ref="C2:E2"/>
    <mergeCell ref="C3:E3"/>
    <mergeCell ref="C5:E5"/>
  </mergeCells>
  <printOptions/>
  <pageMargins left="0.54" right="0.25" top="0.48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9.00390625" style="0" customWidth="1"/>
    <col min="2" max="2" width="18.7109375" style="0" customWidth="1"/>
    <col min="3" max="3" width="18.140625" style="0" customWidth="1"/>
    <col min="4" max="4" width="19.7109375" style="0" customWidth="1"/>
  </cols>
  <sheetData>
    <row r="2" spans="1:6" ht="15.75">
      <c r="A2" s="169"/>
      <c r="B2" s="169"/>
      <c r="C2" s="346" t="s">
        <v>584</v>
      </c>
      <c r="D2" s="346"/>
      <c r="E2" s="18"/>
      <c r="F2" s="18"/>
    </row>
    <row r="3" spans="1:6" ht="15.75">
      <c r="A3" s="169"/>
      <c r="B3" s="169"/>
      <c r="C3" s="346" t="s">
        <v>264</v>
      </c>
      <c r="D3" s="346"/>
      <c r="E3" s="346"/>
      <c r="F3" s="346"/>
    </row>
    <row r="4" spans="1:6" ht="15.75">
      <c r="A4" s="49"/>
      <c r="B4" s="49"/>
      <c r="C4" s="346" t="s">
        <v>293</v>
      </c>
      <c r="D4" s="346"/>
      <c r="E4" s="346"/>
      <c r="F4" s="346"/>
    </row>
    <row r="5" spans="3:4" ht="12.75">
      <c r="C5" s="400"/>
      <c r="D5" s="400"/>
    </row>
    <row r="6" spans="1:6" ht="15.75">
      <c r="A6" s="18"/>
      <c r="B6" s="18"/>
      <c r="C6" s="377" t="s">
        <v>585</v>
      </c>
      <c r="D6" s="377"/>
      <c r="E6" s="377"/>
      <c r="F6" s="377"/>
    </row>
    <row r="7" spans="1:5" ht="15.75">
      <c r="A7" s="171"/>
      <c r="B7" s="171"/>
      <c r="C7" s="323" t="s">
        <v>264</v>
      </c>
      <c r="D7" s="323"/>
      <c r="E7" s="323"/>
    </row>
    <row r="8" spans="1:5" ht="15.75">
      <c r="A8" s="170"/>
      <c r="B8" s="170"/>
      <c r="C8" s="323" t="s">
        <v>267</v>
      </c>
      <c r="D8" s="323"/>
      <c r="E8" s="323"/>
    </row>
    <row r="9" spans="1:5" ht="18.75" customHeight="1">
      <c r="A9" s="170"/>
      <c r="B9" s="170"/>
      <c r="C9" s="334" t="s">
        <v>315</v>
      </c>
      <c r="D9" s="334"/>
      <c r="E9" s="334"/>
    </row>
    <row r="10" spans="1:5" ht="15.75">
      <c r="A10" s="172"/>
      <c r="B10" s="173"/>
      <c r="C10" s="334" t="s">
        <v>504</v>
      </c>
      <c r="D10" s="334"/>
      <c r="E10" s="334"/>
    </row>
    <row r="11" spans="1:5" ht="15.75">
      <c r="A11" s="172"/>
      <c r="B11" s="173"/>
      <c r="C11" s="334" t="s">
        <v>505</v>
      </c>
      <c r="D11" s="334"/>
      <c r="E11" s="129"/>
    </row>
    <row r="12" spans="1:5" ht="15.75">
      <c r="A12" s="172"/>
      <c r="B12" s="173"/>
      <c r="C12" s="324" t="s">
        <v>516</v>
      </c>
      <c r="D12" s="324"/>
      <c r="E12" s="324"/>
    </row>
    <row r="13" ht="12.75">
      <c r="A13" s="30"/>
    </row>
    <row r="14" spans="1:4" ht="20.25">
      <c r="A14" s="442" t="s">
        <v>220</v>
      </c>
      <c r="B14" s="442"/>
      <c r="C14" s="400"/>
      <c r="D14" s="400"/>
    </row>
    <row r="15" spans="1:4" ht="20.25">
      <c r="A15" s="442" t="s">
        <v>517</v>
      </c>
      <c r="B15" s="442"/>
      <c r="C15" s="400"/>
      <c r="D15" s="400"/>
    </row>
    <row r="16" spans="1:4" ht="18.75">
      <c r="A16" s="16"/>
      <c r="B16" s="12"/>
      <c r="D16" s="27" t="s">
        <v>325</v>
      </c>
    </row>
    <row r="17" spans="1:4" ht="32.25" customHeight="1">
      <c r="A17" s="175" t="s">
        <v>221</v>
      </c>
      <c r="B17" s="439" t="s">
        <v>222</v>
      </c>
      <c r="C17" s="440"/>
      <c r="D17" s="441"/>
    </row>
    <row r="18" spans="1:4" ht="30" customHeight="1">
      <c r="A18" s="174" t="s">
        <v>223</v>
      </c>
      <c r="B18" s="70" t="s">
        <v>326</v>
      </c>
      <c r="C18" s="70" t="s">
        <v>399</v>
      </c>
      <c r="D18" s="70" t="s">
        <v>512</v>
      </c>
    </row>
    <row r="19" spans="1:4" ht="24" customHeight="1">
      <c r="A19" s="66" t="s">
        <v>586</v>
      </c>
      <c r="B19" s="179">
        <f>B20+B21</f>
        <v>0</v>
      </c>
      <c r="C19" s="179">
        <f>C20+C21</f>
        <v>0</v>
      </c>
      <c r="D19" s="177">
        <v>0</v>
      </c>
    </row>
    <row r="20" spans="1:4" ht="28.5" customHeight="1">
      <c r="A20" s="66" t="s">
        <v>589</v>
      </c>
      <c r="B20" s="179">
        <v>0</v>
      </c>
      <c r="C20" s="177">
        <v>0</v>
      </c>
      <c r="D20" s="177">
        <v>0</v>
      </c>
    </row>
    <row r="21" spans="1:4" ht="18.75">
      <c r="A21" s="66" t="s">
        <v>588</v>
      </c>
      <c r="B21" s="177">
        <v>0</v>
      </c>
      <c r="C21" s="177">
        <v>0</v>
      </c>
      <c r="D21" s="177">
        <v>0</v>
      </c>
    </row>
    <row r="22" spans="1:4" ht="18.75">
      <c r="A22" s="176" t="s">
        <v>324</v>
      </c>
      <c r="B22" s="178">
        <f>B19</f>
        <v>0</v>
      </c>
      <c r="C22" s="178">
        <f>C19</f>
        <v>0</v>
      </c>
      <c r="D22" s="178">
        <f>D19+D20+D21</f>
        <v>0</v>
      </c>
    </row>
    <row r="23" ht="12.75">
      <c r="D23" s="135" t="s">
        <v>564</v>
      </c>
    </row>
    <row r="26" ht="12.75">
      <c r="B26" s="31"/>
    </row>
  </sheetData>
  <sheetProtection/>
  <mergeCells count="14">
    <mergeCell ref="B17:D17"/>
    <mergeCell ref="A14:D14"/>
    <mergeCell ref="A15:D15"/>
    <mergeCell ref="C5:D5"/>
    <mergeCell ref="C9:E9"/>
    <mergeCell ref="C10:E10"/>
    <mergeCell ref="C11:D11"/>
    <mergeCell ref="C12:E12"/>
    <mergeCell ref="C2:D2"/>
    <mergeCell ref="C3:F3"/>
    <mergeCell ref="C4:F4"/>
    <mergeCell ref="C6:F6"/>
    <mergeCell ref="C7:E7"/>
    <mergeCell ref="C8:E8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0"/>
  <sheetViews>
    <sheetView view="pageBreakPreview" zoomScaleNormal="75" zoomScaleSheetLayoutView="100" zoomScalePageLayoutView="0" workbookViewId="0" topLeftCell="A62">
      <selection activeCell="B28" sqref="B28"/>
    </sheetView>
  </sheetViews>
  <sheetFormatPr defaultColWidth="9.140625" defaultRowHeight="12.75"/>
  <cols>
    <col min="1" max="1" width="29.140625" style="1" customWidth="1"/>
    <col min="2" max="2" width="86.421875" style="0" customWidth="1"/>
    <col min="3" max="3" width="12.00390625" style="0" customWidth="1"/>
    <col min="4" max="4" width="11.8515625" style="0" customWidth="1"/>
    <col min="5" max="5" width="14.421875" style="0" customWidth="1"/>
  </cols>
  <sheetData>
    <row r="1" spans="1:5" ht="12.75">
      <c r="A1" s="56"/>
      <c r="B1" s="55"/>
      <c r="C1" s="30"/>
      <c r="D1" s="30"/>
      <c r="E1" s="30"/>
    </row>
    <row r="2" spans="1:5" ht="12.75">
      <c r="A2" s="56"/>
      <c r="B2" s="55"/>
      <c r="C2" s="30"/>
      <c r="D2" s="30"/>
      <c r="E2" s="30"/>
    </row>
    <row r="3" spans="1:5" ht="15.75">
      <c r="A3" s="56"/>
      <c r="B3" s="55"/>
      <c r="C3" s="346" t="s">
        <v>396</v>
      </c>
      <c r="D3" s="346"/>
      <c r="E3" s="346"/>
    </row>
    <row r="4" spans="1:5" ht="15.75">
      <c r="A4" s="56"/>
      <c r="B4" s="55"/>
      <c r="C4" s="346" t="s">
        <v>619</v>
      </c>
      <c r="D4" s="346"/>
      <c r="E4" s="346"/>
    </row>
    <row r="5" spans="1:5" ht="13.5">
      <c r="A5" s="56"/>
      <c r="B5" s="55"/>
      <c r="C5" s="347" t="s">
        <v>618</v>
      </c>
      <c r="D5" s="333"/>
      <c r="E5" s="333"/>
    </row>
    <row r="6" spans="1:5" ht="15.75">
      <c r="A6" s="56"/>
      <c r="B6" s="55"/>
      <c r="C6" s="346" t="s">
        <v>287</v>
      </c>
      <c r="D6" s="346"/>
      <c r="E6" s="346"/>
    </row>
    <row r="7" spans="1:5" ht="15.75">
      <c r="A7" s="56"/>
      <c r="B7" s="55"/>
      <c r="C7" s="18"/>
      <c r="D7" s="18"/>
      <c r="E7" s="18"/>
    </row>
    <row r="8" spans="2:5" ht="18" customHeight="1">
      <c r="B8" s="30"/>
      <c r="C8" s="323" t="s">
        <v>565</v>
      </c>
      <c r="D8" s="323"/>
      <c r="E8" s="323"/>
    </row>
    <row r="9" spans="2:5" ht="18" customHeight="1">
      <c r="B9" s="30"/>
      <c r="C9" s="323" t="s">
        <v>264</v>
      </c>
      <c r="D9" s="323"/>
      <c r="E9" s="323"/>
    </row>
    <row r="10" spans="1:5" ht="18" customHeight="1">
      <c r="A10" s="9"/>
      <c r="B10" s="30"/>
      <c r="C10" s="323" t="s">
        <v>626</v>
      </c>
      <c r="D10" s="323"/>
      <c r="E10" s="323"/>
    </row>
    <row r="11" spans="1:5" ht="18" customHeight="1">
      <c r="A11" s="9"/>
      <c r="B11" s="30"/>
      <c r="C11" s="334" t="s">
        <v>618</v>
      </c>
      <c r="D11" s="334"/>
      <c r="E11" s="334"/>
    </row>
    <row r="12" spans="1:5" ht="18" customHeight="1">
      <c r="A12" s="9"/>
      <c r="B12" s="30"/>
      <c r="C12" s="334" t="s">
        <v>504</v>
      </c>
      <c r="D12" s="334"/>
      <c r="E12" s="334"/>
    </row>
    <row r="13" spans="1:5" ht="18" customHeight="1">
      <c r="A13" s="9"/>
      <c r="B13" s="30"/>
      <c r="C13" s="49" t="s">
        <v>505</v>
      </c>
      <c r="D13" s="50"/>
      <c r="E13" s="50"/>
    </row>
    <row r="14" spans="1:5" ht="18" customHeight="1">
      <c r="A14" s="9" t="s">
        <v>125</v>
      </c>
      <c r="B14" s="30"/>
      <c r="C14" s="324" t="s">
        <v>556</v>
      </c>
      <c r="D14" s="324"/>
      <c r="E14" s="324"/>
    </row>
    <row r="15" spans="1:3" ht="15">
      <c r="A15" s="9"/>
      <c r="B15" s="341"/>
      <c r="C15" s="341"/>
    </row>
    <row r="16" spans="1:5" ht="20.25" customHeight="1">
      <c r="A16" s="339" t="s">
        <v>622</v>
      </c>
      <c r="B16" s="339"/>
      <c r="C16" s="339"/>
      <c r="D16" s="340"/>
      <c r="E16" s="340"/>
    </row>
    <row r="17" spans="1:5" ht="18.75">
      <c r="A17" s="342" t="s">
        <v>255</v>
      </c>
      <c r="B17" s="342"/>
      <c r="C17" s="342"/>
      <c r="D17" s="343"/>
      <c r="E17" s="343"/>
    </row>
    <row r="18" spans="1:5" ht="19.5">
      <c r="A18" s="32"/>
      <c r="B18" s="32"/>
      <c r="C18" s="32"/>
      <c r="E18" s="3" t="s">
        <v>256</v>
      </c>
    </row>
    <row r="19" spans="1:5" ht="17.25" customHeight="1">
      <c r="A19" s="335" t="s">
        <v>126</v>
      </c>
      <c r="B19" s="337" t="s">
        <v>127</v>
      </c>
      <c r="C19" s="344" t="s">
        <v>15</v>
      </c>
      <c r="D19" s="345"/>
      <c r="E19" s="345"/>
    </row>
    <row r="20" spans="1:5" ht="12.75">
      <c r="A20" s="336"/>
      <c r="B20" s="338"/>
      <c r="C20" s="115" t="s">
        <v>328</v>
      </c>
      <c r="D20" s="115" t="s">
        <v>398</v>
      </c>
      <c r="E20" s="115" t="s">
        <v>507</v>
      </c>
    </row>
    <row r="21" spans="1:5" ht="15.75">
      <c r="A21" s="33"/>
      <c r="B21" s="107" t="s">
        <v>128</v>
      </c>
      <c r="C21" s="240">
        <f>C22+C34</f>
        <v>27135.4</v>
      </c>
      <c r="D21" s="240">
        <f>D22+D34</f>
        <v>27118</v>
      </c>
      <c r="E21" s="240">
        <f>E22+E34</f>
        <v>28233</v>
      </c>
    </row>
    <row r="22" spans="1:5" ht="15.75">
      <c r="A22" s="19"/>
      <c r="B22" s="111" t="s">
        <v>226</v>
      </c>
      <c r="C22" s="240">
        <f>C23+C29+C31+C30+C32+C33</f>
        <v>24966</v>
      </c>
      <c r="D22" s="240">
        <f>D23+D29+D31+D30+D32+D33</f>
        <v>25384</v>
      </c>
      <c r="E22" s="240">
        <f>E23+E29+E31+E30+E32+E33</f>
        <v>26499</v>
      </c>
    </row>
    <row r="23" spans="1:5" ht="15.75">
      <c r="A23" s="20" t="s">
        <v>129</v>
      </c>
      <c r="B23" s="108" t="s">
        <v>227</v>
      </c>
      <c r="C23" s="241">
        <f>C25+C26+C27+C28</f>
        <v>14935</v>
      </c>
      <c r="D23" s="241">
        <f>D25+D26+D27+D28</f>
        <v>15617</v>
      </c>
      <c r="E23" s="241">
        <f>E25+E26+E27+E28</f>
        <v>16589</v>
      </c>
    </row>
    <row r="24" spans="1:5" ht="15.75">
      <c r="A24" s="20"/>
      <c r="B24" s="108" t="s">
        <v>130</v>
      </c>
      <c r="C24" s="242"/>
      <c r="D24" s="242"/>
      <c r="E24" s="242"/>
    </row>
    <row r="25" spans="1:5" ht="47.25">
      <c r="A25" s="20" t="s">
        <v>131</v>
      </c>
      <c r="B25" s="108" t="s">
        <v>347</v>
      </c>
      <c r="C25" s="241">
        <f>14707-35</f>
        <v>14672</v>
      </c>
      <c r="D25" s="241">
        <v>15517</v>
      </c>
      <c r="E25" s="241">
        <v>16489</v>
      </c>
    </row>
    <row r="26" spans="1:5" ht="78" customHeight="1">
      <c r="A26" s="22" t="s">
        <v>132</v>
      </c>
      <c r="B26" s="108" t="s">
        <v>279</v>
      </c>
      <c r="C26" s="241">
        <f>50+10+20+70</f>
        <v>150</v>
      </c>
      <c r="D26" s="241">
        <v>50</v>
      </c>
      <c r="E26" s="241">
        <v>50</v>
      </c>
    </row>
    <row r="27" spans="1:5" ht="63">
      <c r="A27" s="20" t="s">
        <v>133</v>
      </c>
      <c r="B27" s="322" t="s">
        <v>665</v>
      </c>
      <c r="C27" s="241">
        <f>50-10+15+10</f>
        <v>65</v>
      </c>
      <c r="D27" s="241">
        <v>50</v>
      </c>
      <c r="E27" s="241">
        <v>50</v>
      </c>
    </row>
    <row r="28" spans="1:5" ht="94.5">
      <c r="A28" s="20" t="s">
        <v>661</v>
      </c>
      <c r="B28" s="321" t="s">
        <v>666</v>
      </c>
      <c r="C28" s="241">
        <v>48</v>
      </c>
      <c r="D28" s="241">
        <v>0</v>
      </c>
      <c r="E28" s="241">
        <v>0</v>
      </c>
    </row>
    <row r="29" spans="1:5" ht="30" customHeight="1">
      <c r="A29" s="20" t="s">
        <v>228</v>
      </c>
      <c r="B29" s="108" t="s">
        <v>284</v>
      </c>
      <c r="C29" s="241">
        <f>2218+182</f>
        <v>2400</v>
      </c>
      <c r="D29" s="241">
        <v>2295</v>
      </c>
      <c r="E29" s="241">
        <v>2438</v>
      </c>
    </row>
    <row r="30" spans="1:6" ht="15.75">
      <c r="A30" s="20" t="s">
        <v>229</v>
      </c>
      <c r="B30" s="108" t="s">
        <v>230</v>
      </c>
      <c r="C30" s="241">
        <f>25.8+5+0.5</f>
        <v>31.3</v>
      </c>
      <c r="D30" s="241">
        <v>0</v>
      </c>
      <c r="E30" s="241">
        <v>0</v>
      </c>
      <c r="F30" s="234"/>
    </row>
    <row r="31" spans="1:5" ht="36" customHeight="1">
      <c r="A31" s="20" t="s">
        <v>204</v>
      </c>
      <c r="B31" s="108" t="s">
        <v>7</v>
      </c>
      <c r="C31" s="241">
        <f>4707-25.8-5-500-300.5+424</f>
        <v>4299.7</v>
      </c>
      <c r="D31" s="241">
        <v>4707</v>
      </c>
      <c r="E31" s="241">
        <v>4707</v>
      </c>
    </row>
    <row r="32" spans="1:5" ht="39" customHeight="1">
      <c r="A32" s="20" t="s">
        <v>202</v>
      </c>
      <c r="B32" s="108" t="s">
        <v>8</v>
      </c>
      <c r="C32" s="241">
        <f>1195+300+300+205</f>
        <v>2000</v>
      </c>
      <c r="D32" s="241">
        <v>1195</v>
      </c>
      <c r="E32" s="241">
        <v>1195</v>
      </c>
    </row>
    <row r="33" spans="1:5" ht="31.5">
      <c r="A33" s="20" t="s">
        <v>203</v>
      </c>
      <c r="B33" s="108" t="s">
        <v>9</v>
      </c>
      <c r="C33" s="241">
        <f>1570-270</f>
        <v>1300</v>
      </c>
      <c r="D33" s="241">
        <v>1570</v>
      </c>
      <c r="E33" s="241">
        <v>1570</v>
      </c>
    </row>
    <row r="34" spans="1:5" ht="15.75">
      <c r="A34" s="21"/>
      <c r="B34" s="107" t="s">
        <v>231</v>
      </c>
      <c r="C34" s="242">
        <f>SUM(C35:C45)</f>
        <v>2169.4</v>
      </c>
      <c r="D34" s="242">
        <f>SUM(D35:D45)</f>
        <v>1734</v>
      </c>
      <c r="E34" s="242">
        <f>SUM(E35:E45)</f>
        <v>1734</v>
      </c>
    </row>
    <row r="35" spans="1:5" ht="63">
      <c r="A35" s="21" t="s">
        <v>96</v>
      </c>
      <c r="B35" s="109" t="s">
        <v>206</v>
      </c>
      <c r="C35" s="241">
        <f>650+50</f>
        <v>700</v>
      </c>
      <c r="D35" s="241">
        <v>650</v>
      </c>
      <c r="E35" s="241">
        <v>650</v>
      </c>
    </row>
    <row r="36" spans="1:5" ht="60.75" customHeight="1">
      <c r="A36" s="21" t="s">
        <v>329</v>
      </c>
      <c r="B36" s="109" t="s">
        <v>330</v>
      </c>
      <c r="C36" s="241">
        <f>8+2</f>
        <v>10</v>
      </c>
      <c r="D36" s="241">
        <v>8</v>
      </c>
      <c r="E36" s="241">
        <v>8</v>
      </c>
    </row>
    <row r="37" spans="1:5" ht="31.5">
      <c r="A37" s="20" t="s">
        <v>207</v>
      </c>
      <c r="B37" s="108" t="s">
        <v>208</v>
      </c>
      <c r="C37" s="241">
        <v>54</v>
      </c>
      <c r="D37" s="241">
        <v>54</v>
      </c>
      <c r="E37" s="241">
        <v>54</v>
      </c>
    </row>
    <row r="38" spans="1:5" ht="78.75">
      <c r="A38" s="20" t="s">
        <v>583</v>
      </c>
      <c r="B38" s="108" t="s">
        <v>536</v>
      </c>
      <c r="C38" s="241">
        <v>119</v>
      </c>
      <c r="D38" s="241">
        <v>0</v>
      </c>
      <c r="E38" s="241">
        <v>0</v>
      </c>
    </row>
    <row r="39" spans="1:5" ht="63">
      <c r="A39" s="20" t="s">
        <v>98</v>
      </c>
      <c r="B39" s="108" t="s">
        <v>10</v>
      </c>
      <c r="C39" s="241">
        <f>828-162.8+200+65</f>
        <v>930.2</v>
      </c>
      <c r="D39" s="241">
        <v>828</v>
      </c>
      <c r="E39" s="241">
        <v>828</v>
      </c>
    </row>
    <row r="40" spans="1:5" ht="15.75">
      <c r="A40" s="22" t="s">
        <v>389</v>
      </c>
      <c r="B40" s="110" t="s">
        <v>52</v>
      </c>
      <c r="C40" s="241">
        <v>42.8</v>
      </c>
      <c r="D40" s="241">
        <v>0</v>
      </c>
      <c r="E40" s="241">
        <v>0</v>
      </c>
    </row>
    <row r="41" spans="1:5" ht="31.5">
      <c r="A41" s="20" t="s">
        <v>97</v>
      </c>
      <c r="B41" s="108" t="s">
        <v>6</v>
      </c>
      <c r="C41" s="241">
        <f>124+126</f>
        <v>250</v>
      </c>
      <c r="D41" s="241">
        <v>124</v>
      </c>
      <c r="E41" s="241">
        <v>124</v>
      </c>
    </row>
    <row r="42" spans="1:5" ht="47.25">
      <c r="A42" s="20" t="s">
        <v>582</v>
      </c>
      <c r="B42" s="306" t="s">
        <v>416</v>
      </c>
      <c r="C42" s="241">
        <f>1+1</f>
        <v>2</v>
      </c>
      <c r="D42" s="241">
        <v>0</v>
      </c>
      <c r="E42" s="241">
        <v>0</v>
      </c>
    </row>
    <row r="43" spans="1:5" ht="43.5" customHeight="1">
      <c r="A43" s="20" t="s">
        <v>498</v>
      </c>
      <c r="B43" s="212" t="s">
        <v>413</v>
      </c>
      <c r="C43" s="241">
        <f>72-3-9</f>
        <v>60</v>
      </c>
      <c r="D43" s="241">
        <v>70</v>
      </c>
      <c r="E43" s="241">
        <v>70</v>
      </c>
    </row>
    <row r="44" spans="1:5" ht="108.75" customHeight="1">
      <c r="A44" s="22" t="s">
        <v>440</v>
      </c>
      <c r="B44" s="215" t="s">
        <v>439</v>
      </c>
      <c r="C44" s="241">
        <f>2-0.6</f>
        <v>1.4</v>
      </c>
      <c r="D44" s="241">
        <v>0</v>
      </c>
      <c r="E44" s="241">
        <v>0</v>
      </c>
    </row>
    <row r="45" spans="1:5" ht="15.75" customHeight="1" hidden="1">
      <c r="A45" s="20" t="s">
        <v>99</v>
      </c>
      <c r="B45" s="108" t="s">
        <v>13</v>
      </c>
      <c r="C45" s="241">
        <v>0</v>
      </c>
      <c r="D45" s="241">
        <v>0</v>
      </c>
      <c r="E45" s="241">
        <v>0</v>
      </c>
    </row>
    <row r="46" spans="1:5" ht="15.75">
      <c r="A46" s="20"/>
      <c r="B46" s="111" t="s">
        <v>134</v>
      </c>
      <c r="C46" s="242">
        <f>C47+C52+C57+C60+C65+C67</f>
        <v>156257.8</v>
      </c>
      <c r="D46" s="242">
        <f>D47+D52+D57+D60+D65+D67</f>
        <v>12672.800000000001</v>
      </c>
      <c r="E46" s="242">
        <f>E47+E52+E57+E60+E65+E67</f>
        <v>16337.8</v>
      </c>
    </row>
    <row r="47" spans="1:5" ht="15.75">
      <c r="A47" s="20"/>
      <c r="B47" s="111" t="s">
        <v>232</v>
      </c>
      <c r="C47" s="242">
        <f>SUM(C49:C51)</f>
        <v>23183.800000000003</v>
      </c>
      <c r="D47" s="242">
        <f>SUM(D49:D50)</f>
        <v>5663.6</v>
      </c>
      <c r="E47" s="242">
        <f>SUM(E49:E50)</f>
        <v>6971.8</v>
      </c>
    </row>
    <row r="48" spans="1:5" ht="31.5" hidden="1">
      <c r="A48" s="22" t="s">
        <v>342</v>
      </c>
      <c r="B48" s="108" t="s">
        <v>482</v>
      </c>
      <c r="C48" s="243"/>
      <c r="D48" s="243"/>
      <c r="E48" s="243"/>
    </row>
    <row r="49" spans="1:5" ht="33" customHeight="1">
      <c r="A49" s="22" t="s">
        <v>388</v>
      </c>
      <c r="B49" s="108" t="s">
        <v>74</v>
      </c>
      <c r="C49" s="241">
        <f>953.3+1050+7063.1+8871+345.3+334.5+2164.9</f>
        <v>20782.100000000002</v>
      </c>
      <c r="D49" s="241">
        <f>2264.4+1050</f>
        <v>3314.4</v>
      </c>
      <c r="E49" s="241">
        <f>3372.6+1050</f>
        <v>4422.6</v>
      </c>
    </row>
    <row r="50" spans="1:5" ht="33" customHeight="1">
      <c r="A50" s="22" t="s">
        <v>483</v>
      </c>
      <c r="B50" s="231" t="s">
        <v>485</v>
      </c>
      <c r="C50" s="241">
        <v>2401.7</v>
      </c>
      <c r="D50" s="241">
        <f>2349.2</f>
        <v>2349.2</v>
      </c>
      <c r="E50" s="241">
        <f>2549.2</f>
        <v>2549.2</v>
      </c>
    </row>
    <row r="51" spans="1:5" ht="58.5" customHeight="1" hidden="1">
      <c r="A51" s="232" t="s">
        <v>491</v>
      </c>
      <c r="B51" s="233" t="s">
        <v>489</v>
      </c>
      <c r="C51" s="185">
        <v>0</v>
      </c>
      <c r="D51" s="185">
        <v>0</v>
      </c>
      <c r="E51" s="185">
        <v>0</v>
      </c>
    </row>
    <row r="52" spans="1:5" ht="18.75" customHeight="1">
      <c r="A52" s="191"/>
      <c r="B52" s="300" t="s">
        <v>233</v>
      </c>
      <c r="C52" s="242">
        <f>SUM(C53:C56)</f>
        <v>59658.2</v>
      </c>
      <c r="D52" s="242">
        <f>SUM(D53:D56)</f>
        <v>6743.3</v>
      </c>
      <c r="E52" s="242">
        <f>SUM(E53:E56)</f>
        <v>9089.8</v>
      </c>
    </row>
    <row r="53" spans="1:5" ht="29.25" customHeight="1" hidden="1">
      <c r="A53" s="191" t="s">
        <v>648</v>
      </c>
      <c r="B53" s="109" t="s">
        <v>653</v>
      </c>
      <c r="C53" s="241">
        <v>0</v>
      </c>
      <c r="D53" s="241">
        <v>0</v>
      </c>
      <c r="E53" s="241">
        <v>0</v>
      </c>
    </row>
    <row r="54" spans="1:5" ht="31.5" customHeight="1">
      <c r="A54" s="191" t="s">
        <v>540</v>
      </c>
      <c r="B54" s="298" t="s">
        <v>545</v>
      </c>
      <c r="C54" s="241">
        <f>30119.9+10351.9</f>
        <v>40471.8</v>
      </c>
      <c r="D54" s="241">
        <f>12001-8747.5</f>
        <v>3253.5</v>
      </c>
      <c r="E54" s="241">
        <v>0</v>
      </c>
    </row>
    <row r="55" spans="1:5" ht="29.25" customHeight="1">
      <c r="A55" s="191" t="s">
        <v>386</v>
      </c>
      <c r="B55" s="108" t="s">
        <v>486</v>
      </c>
      <c r="C55" s="241">
        <f>4877.2+9871-8871</f>
        <v>5877.200000000001</v>
      </c>
      <c r="D55" s="241">
        <v>3489.8</v>
      </c>
      <c r="E55" s="241">
        <v>3489.8</v>
      </c>
    </row>
    <row r="56" spans="1:5" ht="15.75">
      <c r="A56" s="192" t="s">
        <v>334</v>
      </c>
      <c r="B56" s="34" t="s">
        <v>75</v>
      </c>
      <c r="C56" s="241">
        <f>5600+1900+1589+3493+436.5+290.7</f>
        <v>13309.2</v>
      </c>
      <c r="D56" s="241">
        <f>5600-5600</f>
        <v>0</v>
      </c>
      <c r="E56" s="241">
        <v>5600</v>
      </c>
    </row>
    <row r="57" spans="1:5" ht="15.75">
      <c r="A57" s="192"/>
      <c r="B57" s="111" t="s">
        <v>234</v>
      </c>
      <c r="C57" s="242">
        <f>SUM(C58:C59)</f>
        <v>263.2</v>
      </c>
      <c r="D57" s="242">
        <f>SUM(D58:D59)</f>
        <v>265.9</v>
      </c>
      <c r="E57" s="242">
        <f>SUM(E58:E59)</f>
        <v>276.2</v>
      </c>
    </row>
    <row r="58" spans="1:5" ht="31.5">
      <c r="A58" s="22" t="s">
        <v>492</v>
      </c>
      <c r="B58" s="112" t="s">
        <v>493</v>
      </c>
      <c r="C58" s="241">
        <v>2</v>
      </c>
      <c r="D58" s="241">
        <v>2</v>
      </c>
      <c r="E58" s="241">
        <v>2</v>
      </c>
    </row>
    <row r="59" spans="1:5" ht="31.5">
      <c r="A59" s="22" t="s">
        <v>335</v>
      </c>
      <c r="B59" s="108" t="s">
        <v>84</v>
      </c>
      <c r="C59" s="241">
        <v>261.2</v>
      </c>
      <c r="D59" s="241">
        <v>263.9</v>
      </c>
      <c r="E59" s="241">
        <v>274.2</v>
      </c>
    </row>
    <row r="60" spans="1:5" ht="31.5">
      <c r="A60" s="22"/>
      <c r="B60" s="111" t="s">
        <v>296</v>
      </c>
      <c r="C60" s="241">
        <f>SUM(C61:C64)</f>
        <v>71962.7</v>
      </c>
      <c r="D60" s="241">
        <f>SUM(D61:D64)</f>
        <v>0</v>
      </c>
      <c r="E60" s="241">
        <f>SUM(E61:E64)</f>
        <v>0</v>
      </c>
    </row>
    <row r="61" spans="1:5" ht="53.25" customHeight="1" hidden="1">
      <c r="A61" s="22" t="s">
        <v>444</v>
      </c>
      <c r="B61" s="108" t="s">
        <v>25</v>
      </c>
      <c r="C61" s="241">
        <v>0</v>
      </c>
      <c r="D61" s="241">
        <v>0</v>
      </c>
      <c r="E61" s="241">
        <v>0</v>
      </c>
    </row>
    <row r="62" spans="1:5" ht="33" customHeight="1">
      <c r="A62" s="22" t="s">
        <v>420</v>
      </c>
      <c r="B62" s="110" t="s">
        <v>422</v>
      </c>
      <c r="C62" s="241">
        <f>1533.5+1200+15128.6+4795.4-598-96.8</f>
        <v>21962.7</v>
      </c>
      <c r="D62" s="241">
        <v>0</v>
      </c>
      <c r="E62" s="241">
        <v>0</v>
      </c>
    </row>
    <row r="63" spans="1:5" ht="60.75" customHeight="1">
      <c r="A63" s="192" t="s">
        <v>541</v>
      </c>
      <c r="B63" s="294" t="s">
        <v>546</v>
      </c>
      <c r="C63" s="241">
        <v>50000</v>
      </c>
      <c r="D63" s="241">
        <v>0</v>
      </c>
      <c r="E63" s="241">
        <v>0</v>
      </c>
    </row>
    <row r="64" spans="1:5" ht="22.5" customHeight="1" hidden="1">
      <c r="A64" s="192" t="s">
        <v>450</v>
      </c>
      <c r="B64" s="110" t="s">
        <v>451</v>
      </c>
      <c r="C64" s="241">
        <v>0</v>
      </c>
      <c r="D64" s="241">
        <v>0</v>
      </c>
      <c r="E64" s="241">
        <v>0</v>
      </c>
    </row>
    <row r="65" spans="1:5" ht="28.5" customHeight="1">
      <c r="A65" s="22"/>
      <c r="B65" s="111" t="s">
        <v>548</v>
      </c>
      <c r="C65" s="242">
        <f>C66</f>
        <v>821</v>
      </c>
      <c r="D65" s="242">
        <f>D66</f>
        <v>0</v>
      </c>
      <c r="E65" s="242">
        <f>E66</f>
        <v>0</v>
      </c>
    </row>
    <row r="66" spans="1:5" ht="31.5" customHeight="1">
      <c r="A66" s="190" t="s">
        <v>418</v>
      </c>
      <c r="B66" s="213" t="s">
        <v>424</v>
      </c>
      <c r="C66" s="241">
        <f>949-128+6371-6371+5393.2-5393.2</f>
        <v>821</v>
      </c>
      <c r="D66" s="241">
        <v>0</v>
      </c>
      <c r="E66" s="241">
        <v>0</v>
      </c>
    </row>
    <row r="67" spans="1:5" ht="18.75" customHeight="1">
      <c r="A67" s="299"/>
      <c r="B67" s="111" t="s">
        <v>277</v>
      </c>
      <c r="C67" s="242">
        <f>C68</f>
        <v>368.9</v>
      </c>
      <c r="D67" s="242">
        <f>D68</f>
        <v>0</v>
      </c>
      <c r="E67" s="242">
        <f>E68</f>
        <v>0</v>
      </c>
    </row>
    <row r="68" spans="1:5" ht="32.25" customHeight="1">
      <c r="A68" s="190" t="s">
        <v>343</v>
      </c>
      <c r="B68" s="113" t="s">
        <v>278</v>
      </c>
      <c r="C68" s="241">
        <f>428.4-59.5</f>
        <v>368.9</v>
      </c>
      <c r="D68" s="241">
        <v>0</v>
      </c>
      <c r="E68" s="241">
        <v>0</v>
      </c>
    </row>
    <row r="69" spans="1:5" ht="15.75">
      <c r="A69" s="24" t="s">
        <v>235</v>
      </c>
      <c r="B69" s="114"/>
      <c r="C69" s="270">
        <f>C46+C21</f>
        <v>183393.19999999998</v>
      </c>
      <c r="D69" s="270">
        <f>D46+D21</f>
        <v>39790.8</v>
      </c>
      <c r="E69" s="270">
        <f>E46+E21</f>
        <v>44570.8</v>
      </c>
    </row>
    <row r="70" spans="2:5" ht="12.75">
      <c r="B70" s="25"/>
      <c r="C70" s="235"/>
      <c r="D70" s="68"/>
      <c r="E70" s="235" t="s">
        <v>564</v>
      </c>
    </row>
  </sheetData>
  <sheetProtection/>
  <mergeCells count="16">
    <mergeCell ref="C9:E9"/>
    <mergeCell ref="C10:E10"/>
    <mergeCell ref="C11:E11"/>
    <mergeCell ref="C12:E12"/>
    <mergeCell ref="C19:E19"/>
    <mergeCell ref="C3:E3"/>
    <mergeCell ref="C4:E4"/>
    <mergeCell ref="C6:E6"/>
    <mergeCell ref="C8:E8"/>
    <mergeCell ref="C5:E5"/>
    <mergeCell ref="A19:A20"/>
    <mergeCell ref="B19:B20"/>
    <mergeCell ref="A16:E16"/>
    <mergeCell ref="B15:C15"/>
    <mergeCell ref="C14:E14"/>
    <mergeCell ref="A17:E17"/>
  </mergeCells>
  <printOptions/>
  <pageMargins left="0.7086614173228347" right="0.7086614173228347" top="0.3937007874015748" bottom="0.5905511811023623" header="0.31496062992125984" footer="0.31496062992125984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33"/>
  <sheetViews>
    <sheetView view="pageBreakPreview" zoomScale="86" zoomScaleNormal="75" zoomScaleSheetLayoutView="86" zoomScalePageLayoutView="0" workbookViewId="0" topLeftCell="A1">
      <selection activeCell="A9" sqref="A9:C9"/>
    </sheetView>
  </sheetViews>
  <sheetFormatPr defaultColWidth="9.140625" defaultRowHeight="12.75"/>
  <cols>
    <col min="1" max="1" width="36.421875" style="0" customWidth="1"/>
    <col min="2" max="2" width="93.421875" style="0" customWidth="1"/>
    <col min="3" max="3" width="36.421875" style="0" customWidth="1"/>
  </cols>
  <sheetData>
    <row r="1" spans="1:5" ht="18" customHeight="1">
      <c r="A1" s="5"/>
      <c r="C1" s="323" t="s">
        <v>270</v>
      </c>
      <c r="D1" s="323"/>
      <c r="E1" s="323"/>
    </row>
    <row r="2" spans="3:5" ht="18" customHeight="1">
      <c r="C2" s="323" t="s">
        <v>264</v>
      </c>
      <c r="D2" s="323"/>
      <c r="E2" s="323"/>
    </row>
    <row r="3" spans="3:5" ht="18" customHeight="1">
      <c r="C3" s="323" t="s">
        <v>267</v>
      </c>
      <c r="D3" s="323"/>
      <c r="E3" s="323"/>
    </row>
    <row r="4" spans="3:5" ht="18" customHeight="1">
      <c r="C4" s="334" t="s">
        <v>268</v>
      </c>
      <c r="D4" s="334"/>
      <c r="E4" s="334"/>
    </row>
    <row r="5" spans="1:5" ht="18" customHeight="1">
      <c r="A5" s="30"/>
      <c r="C5" s="334" t="s">
        <v>265</v>
      </c>
      <c r="D5" s="334"/>
      <c r="E5" s="334"/>
    </row>
    <row r="6" spans="1:5" ht="18" customHeight="1">
      <c r="A6" s="4"/>
      <c r="C6" s="49" t="s">
        <v>266</v>
      </c>
      <c r="D6" s="50"/>
      <c r="E6" s="50"/>
    </row>
    <row r="7" spans="1:5" ht="18" customHeight="1">
      <c r="A7" s="13"/>
      <c r="B7" s="11"/>
      <c r="C7" s="324" t="s">
        <v>286</v>
      </c>
      <c r="D7" s="324"/>
      <c r="E7" s="324"/>
    </row>
    <row r="8" spans="1:5" ht="18.75">
      <c r="A8" s="13"/>
      <c r="B8" s="11"/>
      <c r="C8" s="51"/>
      <c r="D8" s="51"/>
      <c r="E8" s="51"/>
    </row>
    <row r="9" spans="1:5" ht="18.75">
      <c r="A9" s="331" t="s">
        <v>269</v>
      </c>
      <c r="B9" s="343"/>
      <c r="C9" s="343"/>
      <c r="D9" s="51"/>
      <c r="E9" s="51"/>
    </row>
    <row r="10" spans="1:3" ht="18.75">
      <c r="A10" s="331" t="s">
        <v>136</v>
      </c>
      <c r="B10" s="343"/>
      <c r="C10" s="343"/>
    </row>
    <row r="11" spans="1:3" ht="18.75">
      <c r="A11" s="331" t="s">
        <v>236</v>
      </c>
      <c r="B11" s="343"/>
      <c r="C11" s="343"/>
    </row>
    <row r="12" spans="1:3" ht="15.75">
      <c r="A12" s="3"/>
      <c r="B12" s="10"/>
      <c r="C12" s="10"/>
    </row>
    <row r="13" spans="1:3" ht="31.5">
      <c r="A13" s="58" t="s">
        <v>126</v>
      </c>
      <c r="B13" s="58" t="s">
        <v>127</v>
      </c>
      <c r="C13" s="59" t="s">
        <v>135</v>
      </c>
    </row>
    <row r="14" spans="1:3" ht="15.75">
      <c r="A14" s="60" t="s">
        <v>41</v>
      </c>
      <c r="B14" s="60" t="s">
        <v>42</v>
      </c>
      <c r="C14" s="61">
        <v>100</v>
      </c>
    </row>
    <row r="15" spans="1:3" ht="47.25">
      <c r="A15" s="60" t="s">
        <v>43</v>
      </c>
      <c r="B15" s="60" t="s">
        <v>44</v>
      </c>
      <c r="C15" s="61">
        <v>100</v>
      </c>
    </row>
    <row r="16" spans="1:3" ht="31.5">
      <c r="A16" s="60" t="s">
        <v>288</v>
      </c>
      <c r="B16" s="60" t="s">
        <v>208</v>
      </c>
      <c r="C16" s="61">
        <v>100</v>
      </c>
    </row>
    <row r="17" spans="1:3" ht="63">
      <c r="A17" s="60" t="s">
        <v>45</v>
      </c>
      <c r="B17" s="60" t="s">
        <v>46</v>
      </c>
      <c r="C17" s="61">
        <v>100</v>
      </c>
    </row>
    <row r="18" spans="1:3" ht="31.5">
      <c r="A18" s="60" t="s">
        <v>47</v>
      </c>
      <c r="B18" s="60" t="s">
        <v>48</v>
      </c>
      <c r="C18" s="61">
        <v>100</v>
      </c>
    </row>
    <row r="19" spans="1:3" ht="31.5">
      <c r="A19" s="60" t="s">
        <v>49</v>
      </c>
      <c r="B19" s="60" t="s">
        <v>50</v>
      </c>
      <c r="C19" s="61">
        <v>100</v>
      </c>
    </row>
    <row r="20" spans="1:3" ht="15.75">
      <c r="A20" s="60" t="s">
        <v>51</v>
      </c>
      <c r="B20" s="60" t="s">
        <v>52</v>
      </c>
      <c r="C20" s="61">
        <v>100</v>
      </c>
    </row>
    <row r="21" spans="1:3" ht="63">
      <c r="A21" s="60" t="s">
        <v>53</v>
      </c>
      <c r="B21" s="60" t="s">
        <v>213</v>
      </c>
      <c r="C21" s="61">
        <v>100</v>
      </c>
    </row>
    <row r="22" spans="1:3" ht="63">
      <c r="A22" s="60" t="s">
        <v>54</v>
      </c>
      <c r="B22" s="60" t="s">
        <v>11</v>
      </c>
      <c r="C22" s="61">
        <v>100</v>
      </c>
    </row>
    <row r="23" spans="1:3" ht="31.5">
      <c r="A23" s="60" t="s">
        <v>55</v>
      </c>
      <c r="B23" s="60" t="s">
        <v>6</v>
      </c>
      <c r="C23" s="61">
        <v>50</v>
      </c>
    </row>
    <row r="24" spans="1:3" ht="31.5">
      <c r="A24" s="60" t="s">
        <v>56</v>
      </c>
      <c r="B24" s="60" t="s">
        <v>57</v>
      </c>
      <c r="C24" s="61">
        <v>100</v>
      </c>
    </row>
    <row r="25" spans="1:3" ht="31.5">
      <c r="A25" s="60" t="s">
        <v>58</v>
      </c>
      <c r="B25" s="60" t="s">
        <v>59</v>
      </c>
      <c r="C25" s="61">
        <v>100</v>
      </c>
    </row>
    <row r="26" spans="1:3" ht="47.25">
      <c r="A26" s="62" t="s">
        <v>60</v>
      </c>
      <c r="B26" s="60" t="s">
        <v>61</v>
      </c>
      <c r="C26" s="61">
        <v>100</v>
      </c>
    </row>
    <row r="27" spans="1:3" ht="31.5">
      <c r="A27" s="60" t="s">
        <v>62</v>
      </c>
      <c r="B27" s="60" t="s">
        <v>63</v>
      </c>
      <c r="C27" s="61">
        <v>100</v>
      </c>
    </row>
    <row r="28" spans="1:3" ht="31.5">
      <c r="A28" s="60" t="s">
        <v>64</v>
      </c>
      <c r="B28" s="60" t="s">
        <v>12</v>
      </c>
      <c r="C28" s="61">
        <v>100</v>
      </c>
    </row>
    <row r="29" spans="1:3" ht="15.75">
      <c r="A29" s="60" t="s">
        <v>65</v>
      </c>
      <c r="B29" s="60" t="s">
        <v>66</v>
      </c>
      <c r="C29" s="61">
        <v>100</v>
      </c>
    </row>
    <row r="30" spans="1:3" ht="47.25">
      <c r="A30" s="60" t="s">
        <v>67</v>
      </c>
      <c r="B30" s="60" t="s">
        <v>283</v>
      </c>
      <c r="C30" s="61">
        <v>100</v>
      </c>
    </row>
    <row r="31" spans="1:3" ht="15.75">
      <c r="A31" s="60" t="s">
        <v>68</v>
      </c>
      <c r="B31" s="60" t="s">
        <v>69</v>
      </c>
      <c r="C31" s="61">
        <v>100</v>
      </c>
    </row>
    <row r="32" spans="1:3" ht="15.75">
      <c r="A32" s="60" t="s">
        <v>70</v>
      </c>
      <c r="B32" s="60" t="s">
        <v>71</v>
      </c>
      <c r="C32" s="61">
        <v>100</v>
      </c>
    </row>
    <row r="33" spans="1:3" ht="68.25" customHeight="1">
      <c r="A33" s="60" t="s">
        <v>72</v>
      </c>
      <c r="B33" s="60" t="s">
        <v>73</v>
      </c>
      <c r="C33" s="61">
        <v>100</v>
      </c>
    </row>
  </sheetData>
  <sheetProtection/>
  <mergeCells count="9">
    <mergeCell ref="A9:C9"/>
    <mergeCell ref="A10:C10"/>
    <mergeCell ref="A11:C11"/>
    <mergeCell ref="C1:E1"/>
    <mergeCell ref="C2:E2"/>
    <mergeCell ref="C3:E3"/>
    <mergeCell ref="C4:E4"/>
    <mergeCell ref="C5:E5"/>
    <mergeCell ref="C7:E7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F69"/>
  <sheetViews>
    <sheetView zoomScalePageLayoutView="0" workbookViewId="0" topLeftCell="A40">
      <selection activeCell="A49" sqref="A49:IV49"/>
    </sheetView>
  </sheetViews>
  <sheetFormatPr defaultColWidth="9.140625" defaultRowHeight="12.75"/>
  <cols>
    <col min="1" max="1" width="18.421875" style="0" customWidth="1"/>
    <col min="2" max="2" width="24.421875" style="0" customWidth="1"/>
    <col min="3" max="3" width="110.7109375" style="0" customWidth="1"/>
    <col min="6" max="6" width="20.00390625" style="0" customWidth="1"/>
  </cols>
  <sheetData>
    <row r="2" spans="4:6" ht="15.75">
      <c r="D2" s="346" t="s">
        <v>396</v>
      </c>
      <c r="E2" s="346"/>
      <c r="F2" s="346"/>
    </row>
    <row r="3" spans="4:6" ht="15.75">
      <c r="D3" s="346" t="s">
        <v>264</v>
      </c>
      <c r="E3" s="346"/>
      <c r="F3" s="346"/>
    </row>
    <row r="4" spans="4:6" ht="15.75">
      <c r="D4" s="346" t="s">
        <v>289</v>
      </c>
      <c r="E4" s="346"/>
      <c r="F4" s="346"/>
    </row>
    <row r="5" spans="4:6" ht="15.75">
      <c r="D5" s="3"/>
      <c r="E5" s="3"/>
      <c r="F5" s="3"/>
    </row>
    <row r="6" spans="4:6" ht="18" customHeight="1">
      <c r="D6" s="323" t="s">
        <v>508</v>
      </c>
      <c r="E6" s="323"/>
      <c r="F6" s="323"/>
    </row>
    <row r="7" spans="4:6" ht="20.25" customHeight="1">
      <c r="D7" s="323" t="s">
        <v>264</v>
      </c>
      <c r="E7" s="323"/>
      <c r="F7" s="323"/>
    </row>
    <row r="8" spans="4:6" ht="18" customHeight="1">
      <c r="D8" s="323" t="s">
        <v>267</v>
      </c>
      <c r="E8" s="323"/>
      <c r="F8" s="323"/>
    </row>
    <row r="9" spans="4:6" ht="18" customHeight="1">
      <c r="D9" s="334" t="s">
        <v>268</v>
      </c>
      <c r="E9" s="334"/>
      <c r="F9" s="334"/>
    </row>
    <row r="10" spans="1:6" ht="18" customHeight="1">
      <c r="A10" s="369"/>
      <c r="B10" s="369"/>
      <c r="D10" s="334" t="s">
        <v>504</v>
      </c>
      <c r="E10" s="334"/>
      <c r="F10" s="334"/>
    </row>
    <row r="11" spans="1:6" ht="18" customHeight="1">
      <c r="A11" s="369"/>
      <c r="B11" s="369"/>
      <c r="C11" s="2"/>
      <c r="D11" s="49" t="s">
        <v>505</v>
      </c>
      <c r="E11" s="50"/>
      <c r="F11" s="50"/>
    </row>
    <row r="12" spans="1:6" ht="18" customHeight="1">
      <c r="A12" s="368"/>
      <c r="B12" s="368"/>
      <c r="C12" s="5"/>
      <c r="D12" s="324" t="s">
        <v>556</v>
      </c>
      <c r="E12" s="324"/>
      <c r="F12" s="324"/>
    </row>
    <row r="13" spans="1:6" ht="18" customHeight="1">
      <c r="A13" s="369"/>
      <c r="B13" s="369"/>
      <c r="C13" s="2"/>
      <c r="D13" s="370"/>
      <c r="E13" s="370"/>
      <c r="F13" s="370"/>
    </row>
    <row r="14" spans="1:6" ht="15.75">
      <c r="A14" s="369"/>
      <c r="B14" s="369"/>
      <c r="C14" s="6"/>
      <c r="D14" s="373"/>
      <c r="E14" s="373"/>
      <c r="F14" s="373"/>
    </row>
    <row r="15" spans="1:3" ht="15.75">
      <c r="A15" s="369"/>
      <c r="B15" s="369"/>
      <c r="C15" s="7"/>
    </row>
    <row r="16" spans="1:6" ht="18.75">
      <c r="A16" s="331" t="s">
        <v>282</v>
      </c>
      <c r="B16" s="331"/>
      <c r="C16" s="331"/>
      <c r="D16" s="331"/>
      <c r="E16" s="331"/>
      <c r="F16" s="331"/>
    </row>
    <row r="17" spans="1:6" ht="20.25" customHeight="1">
      <c r="A17" s="331" t="s">
        <v>509</v>
      </c>
      <c r="B17" s="331"/>
      <c r="C17" s="331"/>
      <c r="D17" s="331"/>
      <c r="E17" s="331"/>
      <c r="F17" s="331"/>
    </row>
    <row r="18" spans="1:2" ht="15.75">
      <c r="A18" s="372"/>
      <c r="B18" s="372"/>
    </row>
    <row r="19" spans="1:6" ht="16.5" customHeight="1">
      <c r="A19" s="371" t="s">
        <v>126</v>
      </c>
      <c r="B19" s="371"/>
      <c r="C19" s="371" t="s">
        <v>137</v>
      </c>
      <c r="D19" s="371"/>
      <c r="E19" s="371"/>
      <c r="F19" s="371"/>
    </row>
    <row r="20" spans="1:6" ht="12.75">
      <c r="A20" s="371"/>
      <c r="B20" s="371"/>
      <c r="C20" s="371"/>
      <c r="D20" s="371"/>
      <c r="E20" s="371"/>
      <c r="F20" s="371"/>
    </row>
    <row r="21" spans="1:6" ht="57">
      <c r="A21" s="57" t="s">
        <v>237</v>
      </c>
      <c r="B21" s="57" t="s">
        <v>238</v>
      </c>
      <c r="C21" s="371"/>
      <c r="D21" s="371"/>
      <c r="E21" s="371"/>
      <c r="F21" s="371"/>
    </row>
    <row r="22" spans="1:6" ht="14.25">
      <c r="A22" s="356" t="s">
        <v>138</v>
      </c>
      <c r="B22" s="356"/>
      <c r="C22" s="356"/>
      <c r="D22" s="356"/>
      <c r="E22" s="356"/>
      <c r="F22" s="356"/>
    </row>
    <row r="23" spans="1:6" ht="34.5" customHeight="1">
      <c r="A23" s="124" t="s">
        <v>239</v>
      </c>
      <c r="B23" s="124" t="s">
        <v>297</v>
      </c>
      <c r="C23" s="374" t="s">
        <v>554</v>
      </c>
      <c r="D23" s="375"/>
      <c r="E23" s="375"/>
      <c r="F23" s="376"/>
    </row>
    <row r="24" spans="1:6" ht="37.5" customHeight="1">
      <c r="A24" s="26" t="s">
        <v>239</v>
      </c>
      <c r="B24" s="26" t="s">
        <v>100</v>
      </c>
      <c r="C24" s="351" t="s">
        <v>44</v>
      </c>
      <c r="D24" s="351"/>
      <c r="E24" s="351"/>
      <c r="F24" s="351"/>
    </row>
    <row r="25" spans="1:6" ht="24.75" customHeight="1">
      <c r="A25" s="26" t="s">
        <v>239</v>
      </c>
      <c r="B25" s="26" t="s">
        <v>211</v>
      </c>
      <c r="C25" s="351" t="s">
        <v>208</v>
      </c>
      <c r="D25" s="351"/>
      <c r="E25" s="351"/>
      <c r="F25" s="351"/>
    </row>
    <row r="26" spans="1:6" ht="40.5" customHeight="1">
      <c r="A26" s="26" t="s">
        <v>239</v>
      </c>
      <c r="B26" s="26" t="s">
        <v>547</v>
      </c>
      <c r="C26" s="348" t="s">
        <v>536</v>
      </c>
      <c r="D26" s="352"/>
      <c r="E26" s="352"/>
      <c r="F26" s="353"/>
    </row>
    <row r="27" spans="1:6" ht="31.5" customHeight="1">
      <c r="A27" s="26" t="s">
        <v>239</v>
      </c>
      <c r="B27" s="26" t="s">
        <v>101</v>
      </c>
      <c r="C27" s="351" t="s">
        <v>46</v>
      </c>
      <c r="D27" s="351"/>
      <c r="E27" s="351"/>
      <c r="F27" s="351"/>
    </row>
    <row r="28" spans="1:6" ht="15">
      <c r="A28" s="26" t="s">
        <v>239</v>
      </c>
      <c r="B28" s="26" t="s">
        <v>102</v>
      </c>
      <c r="C28" s="351" t="s">
        <v>52</v>
      </c>
      <c r="D28" s="351"/>
      <c r="E28" s="351"/>
      <c r="F28" s="351"/>
    </row>
    <row r="29" spans="1:6" ht="27.75" customHeight="1">
      <c r="A29" s="26" t="s">
        <v>239</v>
      </c>
      <c r="B29" s="26" t="s">
        <v>103</v>
      </c>
      <c r="C29" s="351" t="s">
        <v>213</v>
      </c>
      <c r="D29" s="351"/>
      <c r="E29" s="351"/>
      <c r="F29" s="351"/>
    </row>
    <row r="30" spans="1:6" ht="45" customHeight="1">
      <c r="A30" s="26" t="s">
        <v>239</v>
      </c>
      <c r="B30" s="26" t="s">
        <v>104</v>
      </c>
      <c r="C30" s="351" t="s">
        <v>240</v>
      </c>
      <c r="D30" s="351"/>
      <c r="E30" s="351"/>
      <c r="F30" s="351"/>
    </row>
    <row r="31" spans="1:6" ht="28.5" customHeight="1">
      <c r="A31" s="26" t="s">
        <v>239</v>
      </c>
      <c r="B31" s="26" t="s">
        <v>241</v>
      </c>
      <c r="C31" s="351" t="s">
        <v>242</v>
      </c>
      <c r="D31" s="351"/>
      <c r="E31" s="351"/>
      <c r="F31" s="351"/>
    </row>
    <row r="32" spans="1:6" ht="27" customHeight="1">
      <c r="A32" s="124" t="s">
        <v>239</v>
      </c>
      <c r="B32" s="124" t="s">
        <v>407</v>
      </c>
      <c r="C32" s="348" t="s">
        <v>539</v>
      </c>
      <c r="D32" s="354"/>
      <c r="E32" s="354"/>
      <c r="F32" s="355"/>
    </row>
    <row r="33" spans="1:6" ht="47.25" customHeight="1">
      <c r="A33" s="124" t="s">
        <v>239</v>
      </c>
      <c r="B33" s="124" t="s">
        <v>408</v>
      </c>
      <c r="C33" s="348" t="s">
        <v>538</v>
      </c>
      <c r="D33" s="354"/>
      <c r="E33" s="354"/>
      <c r="F33" s="355"/>
    </row>
    <row r="34" spans="1:6" ht="90" customHeight="1">
      <c r="A34" s="124" t="s">
        <v>239</v>
      </c>
      <c r="B34" s="124" t="s">
        <v>409</v>
      </c>
      <c r="C34" s="348" t="s">
        <v>537</v>
      </c>
      <c r="D34" s="354"/>
      <c r="E34" s="354"/>
      <c r="F34" s="355"/>
    </row>
    <row r="35" spans="1:6" ht="31.5" customHeight="1">
      <c r="A35" s="26" t="s">
        <v>239</v>
      </c>
      <c r="B35" s="124" t="s">
        <v>404</v>
      </c>
      <c r="C35" s="348" t="s">
        <v>416</v>
      </c>
      <c r="D35" s="352"/>
      <c r="E35" s="352"/>
      <c r="F35" s="353"/>
    </row>
    <row r="36" spans="1:6" ht="28.5" customHeight="1">
      <c r="A36" s="26" t="s">
        <v>239</v>
      </c>
      <c r="B36" s="124" t="s">
        <v>405</v>
      </c>
      <c r="C36" s="348" t="s">
        <v>555</v>
      </c>
      <c r="D36" s="352"/>
      <c r="E36" s="352"/>
      <c r="F36" s="353"/>
    </row>
    <row r="37" spans="1:6" ht="64.5" customHeight="1">
      <c r="A37" s="26" t="s">
        <v>239</v>
      </c>
      <c r="B37" s="124" t="s">
        <v>406</v>
      </c>
      <c r="C37" s="348" t="s">
        <v>481</v>
      </c>
      <c r="D37" s="352"/>
      <c r="E37" s="352"/>
      <c r="F37" s="353"/>
    </row>
    <row r="38" spans="1:6" ht="45.75" customHeight="1">
      <c r="A38" s="26" t="s">
        <v>239</v>
      </c>
      <c r="B38" s="124" t="s">
        <v>410</v>
      </c>
      <c r="C38" s="348" t="s">
        <v>415</v>
      </c>
      <c r="D38" s="349"/>
      <c r="E38" s="349"/>
      <c r="F38" s="350"/>
    </row>
    <row r="39" spans="1:6" ht="22.5" customHeight="1">
      <c r="A39" s="26" t="s">
        <v>239</v>
      </c>
      <c r="B39" s="124" t="s">
        <v>411</v>
      </c>
      <c r="C39" s="348" t="s">
        <v>414</v>
      </c>
      <c r="D39" s="354"/>
      <c r="E39" s="354"/>
      <c r="F39" s="355"/>
    </row>
    <row r="40" spans="1:6" ht="30.75" customHeight="1">
      <c r="A40" s="26" t="s">
        <v>239</v>
      </c>
      <c r="B40" s="124" t="s">
        <v>412</v>
      </c>
      <c r="C40" s="363" t="s">
        <v>413</v>
      </c>
      <c r="D40" s="363"/>
      <c r="E40" s="363"/>
      <c r="F40" s="363"/>
    </row>
    <row r="41" spans="1:6" ht="45" customHeight="1" hidden="1">
      <c r="A41" s="26" t="s">
        <v>239</v>
      </c>
      <c r="B41" s="124" t="s">
        <v>403</v>
      </c>
      <c r="C41" s="348" t="s">
        <v>401</v>
      </c>
      <c r="D41" s="349"/>
      <c r="E41" s="349"/>
      <c r="F41" s="350"/>
    </row>
    <row r="42" spans="1:6" ht="60" customHeight="1">
      <c r="A42" s="26" t="s">
        <v>239</v>
      </c>
      <c r="B42" s="124" t="s">
        <v>438</v>
      </c>
      <c r="C42" s="367" t="s">
        <v>439</v>
      </c>
      <c r="D42" s="352"/>
      <c r="E42" s="352"/>
      <c r="F42" s="353"/>
    </row>
    <row r="43" spans="1:6" ht="30.75" customHeight="1">
      <c r="A43" s="26" t="s">
        <v>239</v>
      </c>
      <c r="B43" s="124" t="s">
        <v>425</v>
      </c>
      <c r="C43" s="348" t="s">
        <v>655</v>
      </c>
      <c r="D43" s="352"/>
      <c r="E43" s="352"/>
      <c r="F43" s="353"/>
    </row>
    <row r="44" spans="1:6" ht="45.75" customHeight="1" hidden="1">
      <c r="A44" s="26" t="s">
        <v>239</v>
      </c>
      <c r="B44" s="124" t="s">
        <v>402</v>
      </c>
      <c r="C44" s="348" t="s">
        <v>400</v>
      </c>
      <c r="D44" s="352"/>
      <c r="E44" s="352"/>
      <c r="F44" s="353"/>
    </row>
    <row r="45" spans="1:6" ht="15">
      <c r="A45" s="26" t="s">
        <v>239</v>
      </c>
      <c r="B45" s="26" t="s">
        <v>105</v>
      </c>
      <c r="C45" s="351" t="s">
        <v>66</v>
      </c>
      <c r="D45" s="351"/>
      <c r="E45" s="351"/>
      <c r="F45" s="351"/>
    </row>
    <row r="46" spans="1:6" ht="15">
      <c r="A46" s="26" t="s">
        <v>239</v>
      </c>
      <c r="B46" s="26" t="s">
        <v>106</v>
      </c>
      <c r="C46" s="351" t="s">
        <v>69</v>
      </c>
      <c r="D46" s="351"/>
      <c r="E46" s="351"/>
      <c r="F46" s="351"/>
    </row>
    <row r="47" spans="1:6" ht="15">
      <c r="A47" s="26" t="s">
        <v>239</v>
      </c>
      <c r="B47" s="124" t="s">
        <v>331</v>
      </c>
      <c r="C47" s="351" t="s">
        <v>74</v>
      </c>
      <c r="D47" s="351"/>
      <c r="E47" s="351"/>
      <c r="F47" s="351"/>
    </row>
    <row r="48" spans="1:6" ht="15">
      <c r="A48" s="26" t="s">
        <v>239</v>
      </c>
      <c r="B48" s="124" t="s">
        <v>484</v>
      </c>
      <c r="C48" s="348" t="s">
        <v>485</v>
      </c>
      <c r="D48" s="352"/>
      <c r="E48" s="352"/>
      <c r="F48" s="353"/>
    </row>
    <row r="49" spans="1:6" ht="15" customHeight="1" hidden="1">
      <c r="A49" s="124" t="s">
        <v>239</v>
      </c>
      <c r="B49" s="124" t="s">
        <v>654</v>
      </c>
      <c r="C49" s="357" t="s">
        <v>653</v>
      </c>
      <c r="D49" s="352"/>
      <c r="E49" s="352"/>
      <c r="F49" s="353"/>
    </row>
    <row r="50" spans="1:6" ht="19.5" customHeight="1">
      <c r="A50" s="124" t="s">
        <v>239</v>
      </c>
      <c r="B50" s="124" t="s">
        <v>542</v>
      </c>
      <c r="C50" s="348" t="s">
        <v>545</v>
      </c>
      <c r="D50" s="354"/>
      <c r="E50" s="354"/>
      <c r="F50" s="355"/>
    </row>
    <row r="51" spans="1:6" ht="18.75" customHeight="1">
      <c r="A51" s="26" t="s">
        <v>239</v>
      </c>
      <c r="B51" s="124" t="s">
        <v>346</v>
      </c>
      <c r="C51" s="348" t="s">
        <v>486</v>
      </c>
      <c r="D51" s="349"/>
      <c r="E51" s="349"/>
      <c r="F51" s="350"/>
    </row>
    <row r="52" spans="1:6" ht="18" customHeight="1">
      <c r="A52" s="124" t="s">
        <v>239</v>
      </c>
      <c r="B52" s="124" t="s">
        <v>337</v>
      </c>
      <c r="C52" s="364" t="s">
        <v>336</v>
      </c>
      <c r="D52" s="365"/>
      <c r="E52" s="365"/>
      <c r="F52" s="366"/>
    </row>
    <row r="53" spans="1:6" ht="15">
      <c r="A53" s="26" t="s">
        <v>239</v>
      </c>
      <c r="B53" s="124" t="s">
        <v>332</v>
      </c>
      <c r="C53" s="351" t="s">
        <v>75</v>
      </c>
      <c r="D53" s="351"/>
      <c r="E53" s="351"/>
      <c r="F53" s="351"/>
    </row>
    <row r="54" spans="1:6" ht="18" customHeight="1">
      <c r="A54" s="26" t="s">
        <v>239</v>
      </c>
      <c r="B54" s="124" t="s">
        <v>338</v>
      </c>
      <c r="C54" s="351" t="s">
        <v>243</v>
      </c>
      <c r="D54" s="351"/>
      <c r="E54" s="351"/>
      <c r="F54" s="351"/>
    </row>
    <row r="55" spans="1:6" ht="18" customHeight="1">
      <c r="A55" s="26" t="s">
        <v>239</v>
      </c>
      <c r="B55" s="124" t="s">
        <v>494</v>
      </c>
      <c r="C55" s="351" t="s">
        <v>495</v>
      </c>
      <c r="D55" s="351"/>
      <c r="E55" s="351"/>
      <c r="F55" s="351"/>
    </row>
    <row r="56" spans="1:6" ht="15">
      <c r="A56" s="26" t="s">
        <v>239</v>
      </c>
      <c r="B56" s="124" t="s">
        <v>339</v>
      </c>
      <c r="C56" s="351" t="s">
        <v>76</v>
      </c>
      <c r="D56" s="351"/>
      <c r="E56" s="351"/>
      <c r="F56" s="351"/>
    </row>
    <row r="57" spans="1:6" ht="30.75" customHeight="1">
      <c r="A57" s="26" t="s">
        <v>239</v>
      </c>
      <c r="B57" s="124" t="s">
        <v>333</v>
      </c>
      <c r="C57" s="351" t="s">
        <v>25</v>
      </c>
      <c r="D57" s="351"/>
      <c r="E57" s="351"/>
      <c r="F57" s="351"/>
    </row>
    <row r="58" spans="1:6" ht="21" customHeight="1">
      <c r="A58" s="26" t="s">
        <v>239</v>
      </c>
      <c r="B58" s="124" t="s">
        <v>417</v>
      </c>
      <c r="C58" s="360" t="s">
        <v>421</v>
      </c>
      <c r="D58" s="361"/>
      <c r="E58" s="361"/>
      <c r="F58" s="362"/>
    </row>
    <row r="59" spans="1:6" ht="35.25" customHeight="1">
      <c r="A59" s="124" t="s">
        <v>239</v>
      </c>
      <c r="B59" s="124" t="s">
        <v>543</v>
      </c>
      <c r="C59" s="348" t="s">
        <v>544</v>
      </c>
      <c r="D59" s="354"/>
      <c r="E59" s="354"/>
      <c r="F59" s="355"/>
    </row>
    <row r="60" spans="1:6" ht="24" customHeight="1">
      <c r="A60" s="26" t="s">
        <v>239</v>
      </c>
      <c r="B60" s="124" t="s">
        <v>449</v>
      </c>
      <c r="C60" s="348" t="s">
        <v>451</v>
      </c>
      <c r="D60" s="352"/>
      <c r="E60" s="352"/>
      <c r="F60" s="353"/>
    </row>
    <row r="61" spans="1:6" ht="23.25" customHeight="1">
      <c r="A61" s="26" t="s">
        <v>239</v>
      </c>
      <c r="B61" s="124" t="s">
        <v>419</v>
      </c>
      <c r="C61" s="360" t="s">
        <v>423</v>
      </c>
      <c r="D61" s="361"/>
      <c r="E61" s="361"/>
      <c r="F61" s="362"/>
    </row>
    <row r="62" spans="1:6" ht="24" customHeight="1">
      <c r="A62" s="26" t="s">
        <v>239</v>
      </c>
      <c r="B62" s="124" t="s">
        <v>340</v>
      </c>
      <c r="C62" s="348" t="s">
        <v>278</v>
      </c>
      <c r="D62" s="349"/>
      <c r="E62" s="349"/>
      <c r="F62" s="350"/>
    </row>
    <row r="63" spans="1:6" ht="50.25" customHeight="1">
      <c r="A63" s="26" t="s">
        <v>239</v>
      </c>
      <c r="B63" s="124" t="s">
        <v>341</v>
      </c>
      <c r="C63" s="351" t="s">
        <v>245</v>
      </c>
      <c r="D63" s="351"/>
      <c r="E63" s="351"/>
      <c r="F63" s="351"/>
    </row>
    <row r="64" spans="1:6" ht="20.25" customHeight="1">
      <c r="A64" s="26" t="s">
        <v>239</v>
      </c>
      <c r="B64" s="124" t="s">
        <v>344</v>
      </c>
      <c r="C64" s="351" t="s">
        <v>77</v>
      </c>
      <c r="D64" s="351"/>
      <c r="E64" s="351"/>
      <c r="F64" s="351"/>
    </row>
    <row r="65" spans="1:6" ht="21" customHeight="1">
      <c r="A65" s="26" t="s">
        <v>239</v>
      </c>
      <c r="B65" s="124" t="s">
        <v>345</v>
      </c>
      <c r="C65" s="351" t="s">
        <v>78</v>
      </c>
      <c r="D65" s="351"/>
      <c r="E65" s="351"/>
      <c r="F65" s="351"/>
    </row>
    <row r="66" spans="1:6" ht="36.75" customHeight="1">
      <c r="A66" s="26" t="s">
        <v>239</v>
      </c>
      <c r="B66" s="124" t="s">
        <v>501</v>
      </c>
      <c r="C66" s="348" t="s">
        <v>502</v>
      </c>
      <c r="D66" s="352"/>
      <c r="E66" s="352"/>
      <c r="F66" s="353"/>
    </row>
    <row r="67" spans="1:6" ht="27.75" customHeight="1">
      <c r="A67" s="26" t="s">
        <v>239</v>
      </c>
      <c r="B67" s="124" t="s">
        <v>496</v>
      </c>
      <c r="C67" s="348" t="s">
        <v>497</v>
      </c>
      <c r="D67" s="352"/>
      <c r="E67" s="352"/>
      <c r="F67" s="353"/>
    </row>
    <row r="68" spans="1:6" ht="26.25" customHeight="1">
      <c r="A68" s="26" t="s">
        <v>239</v>
      </c>
      <c r="B68" s="124" t="s">
        <v>442</v>
      </c>
      <c r="C68" s="357" t="s">
        <v>441</v>
      </c>
      <c r="D68" s="358"/>
      <c r="E68" s="358"/>
      <c r="F68" s="359"/>
    </row>
    <row r="69" ht="12.75">
      <c r="F69" s="132"/>
    </row>
  </sheetData>
  <sheetProtection/>
  <mergeCells count="69">
    <mergeCell ref="D6:F6"/>
    <mergeCell ref="D7:F7"/>
    <mergeCell ref="D8:F8"/>
    <mergeCell ref="D9:F9"/>
    <mergeCell ref="C53:F53"/>
    <mergeCell ref="C23:F23"/>
    <mergeCell ref="C36:F36"/>
    <mergeCell ref="C31:F31"/>
    <mergeCell ref="C26:F26"/>
    <mergeCell ref="C32:F32"/>
    <mergeCell ref="C66:F66"/>
    <mergeCell ref="A10:B10"/>
    <mergeCell ref="C33:F33"/>
    <mergeCell ref="A15:B15"/>
    <mergeCell ref="A16:F16"/>
    <mergeCell ref="A17:F17"/>
    <mergeCell ref="A13:B13"/>
    <mergeCell ref="C28:F28"/>
    <mergeCell ref="C29:F29"/>
    <mergeCell ref="A11:B11"/>
    <mergeCell ref="A12:B12"/>
    <mergeCell ref="D12:F12"/>
    <mergeCell ref="A14:B14"/>
    <mergeCell ref="D13:F13"/>
    <mergeCell ref="C27:F27"/>
    <mergeCell ref="C19:F21"/>
    <mergeCell ref="C25:F25"/>
    <mergeCell ref="A18:B18"/>
    <mergeCell ref="A19:B20"/>
    <mergeCell ref="D14:F14"/>
    <mergeCell ref="C37:F37"/>
    <mergeCell ref="C64:F64"/>
    <mergeCell ref="C63:F63"/>
    <mergeCell ref="C41:F41"/>
    <mergeCell ref="C44:F44"/>
    <mergeCell ref="C38:F38"/>
    <mergeCell ref="C59:F59"/>
    <mergeCell ref="C49:F49"/>
    <mergeCell ref="C42:F42"/>
    <mergeCell ref="C68:F68"/>
    <mergeCell ref="C65:F65"/>
    <mergeCell ref="C54:F54"/>
    <mergeCell ref="C58:F58"/>
    <mergeCell ref="C61:F61"/>
    <mergeCell ref="C40:F40"/>
    <mergeCell ref="C51:F51"/>
    <mergeCell ref="C45:F45"/>
    <mergeCell ref="C46:F46"/>
    <mergeCell ref="C52:F52"/>
    <mergeCell ref="D2:F2"/>
    <mergeCell ref="D3:F3"/>
    <mergeCell ref="D4:F4"/>
    <mergeCell ref="A22:F22"/>
    <mergeCell ref="C24:F24"/>
    <mergeCell ref="C55:F55"/>
    <mergeCell ref="C47:F47"/>
    <mergeCell ref="C48:F48"/>
    <mergeCell ref="C50:F50"/>
    <mergeCell ref="C43:F43"/>
    <mergeCell ref="D10:F10"/>
    <mergeCell ref="C62:F62"/>
    <mergeCell ref="C57:F57"/>
    <mergeCell ref="C56:F56"/>
    <mergeCell ref="C60:F60"/>
    <mergeCell ref="C67:F67"/>
    <mergeCell ref="C39:F39"/>
    <mergeCell ref="C34:F34"/>
    <mergeCell ref="C35:F35"/>
    <mergeCell ref="C30:F30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G26"/>
  <sheetViews>
    <sheetView zoomScalePageLayoutView="0" workbookViewId="0" topLeftCell="A1">
      <selection activeCell="A20" sqref="A20:IV21"/>
    </sheetView>
  </sheetViews>
  <sheetFormatPr defaultColWidth="9.140625" defaultRowHeight="12.75"/>
  <cols>
    <col min="1" max="1" width="10.28125" style="0" customWidth="1"/>
    <col min="2" max="2" width="30.57421875" style="0" customWidth="1"/>
    <col min="3" max="3" width="77.00390625" style="0" customWidth="1"/>
    <col min="6" max="6" width="9.140625" style="0" customWidth="1"/>
    <col min="7" max="7" width="11.140625" style="0" customWidth="1"/>
  </cols>
  <sheetData>
    <row r="2" spans="4:7" ht="14.25" customHeight="1">
      <c r="D2" s="346" t="s">
        <v>508</v>
      </c>
      <c r="E2" s="346"/>
      <c r="F2" s="346"/>
      <c r="G2" s="346"/>
    </row>
    <row r="3" spans="4:7" ht="16.5" customHeight="1">
      <c r="D3" s="377" t="s">
        <v>264</v>
      </c>
      <c r="E3" s="377"/>
      <c r="F3" s="377"/>
      <c r="G3" s="377"/>
    </row>
    <row r="4" spans="4:7" ht="18" customHeight="1">
      <c r="D4" s="378" t="s">
        <v>327</v>
      </c>
      <c r="E4" s="379"/>
      <c r="F4" s="379"/>
      <c r="G4" s="379"/>
    </row>
    <row r="5" ht="15.75" customHeight="1"/>
    <row r="6" spans="3:7" ht="15.75" customHeight="1">
      <c r="C6" s="1"/>
      <c r="D6" s="377" t="s">
        <v>587</v>
      </c>
      <c r="E6" s="377"/>
      <c r="F6" s="377"/>
      <c r="G6" s="55"/>
    </row>
    <row r="7" spans="1:7" ht="15.75" customHeight="1">
      <c r="A7" s="6"/>
      <c r="D7" s="377" t="s">
        <v>264</v>
      </c>
      <c r="E7" s="377"/>
      <c r="F7" s="377"/>
      <c r="G7" s="377"/>
    </row>
    <row r="8" spans="1:7" ht="15.75" customHeight="1">
      <c r="A8" s="6"/>
      <c r="D8" s="377" t="s">
        <v>267</v>
      </c>
      <c r="E8" s="377"/>
      <c r="F8" s="377"/>
      <c r="G8" s="377"/>
    </row>
    <row r="9" spans="3:7" ht="15.75">
      <c r="C9" s="6"/>
      <c r="D9" s="69" t="s">
        <v>268</v>
      </c>
      <c r="E9" s="69"/>
      <c r="F9" s="69"/>
      <c r="G9" s="55"/>
    </row>
    <row r="10" spans="3:7" ht="15.75">
      <c r="C10" s="35"/>
      <c r="D10" s="69" t="s">
        <v>504</v>
      </c>
      <c r="E10" s="69"/>
      <c r="F10" s="69"/>
      <c r="G10" s="55"/>
    </row>
    <row r="11" spans="3:7" ht="15.75">
      <c r="C11" s="35"/>
      <c r="D11" s="49" t="s">
        <v>505</v>
      </c>
      <c r="E11" s="50"/>
      <c r="F11" s="50"/>
      <c r="G11" s="55"/>
    </row>
    <row r="12" spans="3:7" ht="15.75">
      <c r="C12" s="35"/>
      <c r="D12" s="378" t="s">
        <v>556</v>
      </c>
      <c r="E12" s="379"/>
      <c r="F12" s="379"/>
      <c r="G12" s="379"/>
    </row>
    <row r="13" ht="15.75">
      <c r="C13" s="35"/>
    </row>
    <row r="14" spans="1:7" ht="18.75">
      <c r="A14" s="331" t="s">
        <v>141</v>
      </c>
      <c r="B14" s="331"/>
      <c r="C14" s="331"/>
      <c r="D14" s="331"/>
      <c r="E14" s="331"/>
      <c r="F14" s="331"/>
      <c r="G14" s="331"/>
    </row>
    <row r="15" spans="1:7" ht="15.75" customHeight="1">
      <c r="A15" s="331" t="s">
        <v>273</v>
      </c>
      <c r="B15" s="331"/>
      <c r="C15" s="331"/>
      <c r="D15" s="331"/>
      <c r="E15" s="331"/>
      <c r="F15" s="331"/>
      <c r="G15" s="331"/>
    </row>
    <row r="16" spans="1:7" ht="18.75">
      <c r="A16" s="342" t="s">
        <v>510</v>
      </c>
      <c r="B16" s="342"/>
      <c r="C16" s="342"/>
      <c r="D16" s="342"/>
      <c r="E16" s="342"/>
      <c r="F16" s="342"/>
      <c r="G16" s="342"/>
    </row>
    <row r="17" spans="1:7" ht="15.75">
      <c r="A17" s="67"/>
      <c r="B17" s="67"/>
      <c r="C17" s="67"/>
      <c r="D17" s="67"/>
      <c r="E17" s="67"/>
      <c r="F17" s="67"/>
      <c r="G17" s="67"/>
    </row>
    <row r="18" spans="1:7" ht="72" customHeight="1">
      <c r="A18" s="64" t="s">
        <v>139</v>
      </c>
      <c r="B18" s="64" t="s">
        <v>140</v>
      </c>
      <c r="C18" s="385"/>
      <c r="D18" s="386"/>
      <c r="E18" s="386"/>
      <c r="F18" s="386"/>
      <c r="G18" s="387"/>
    </row>
    <row r="19" spans="1:7" ht="18.75" customHeight="1">
      <c r="A19" s="388" t="s">
        <v>274</v>
      </c>
      <c r="B19" s="389"/>
      <c r="C19" s="389"/>
      <c r="D19" s="389"/>
      <c r="E19" s="389"/>
      <c r="F19" s="389"/>
      <c r="G19" s="390"/>
    </row>
    <row r="20" spans="1:7" ht="21" customHeight="1" hidden="1">
      <c r="A20" s="65">
        <v>156</v>
      </c>
      <c r="B20" s="229" t="s">
        <v>459</v>
      </c>
      <c r="C20" s="383" t="s">
        <v>475</v>
      </c>
      <c r="D20" s="383"/>
      <c r="E20" s="383"/>
      <c r="F20" s="383"/>
      <c r="G20" s="383"/>
    </row>
    <row r="21" spans="1:7" ht="20.25" customHeight="1" hidden="1">
      <c r="A21" s="65">
        <v>156</v>
      </c>
      <c r="B21" s="229" t="s">
        <v>460</v>
      </c>
      <c r="C21" s="383" t="s">
        <v>476</v>
      </c>
      <c r="D21" s="383"/>
      <c r="E21" s="383"/>
      <c r="F21" s="383"/>
      <c r="G21" s="383"/>
    </row>
    <row r="22" spans="1:7" ht="30.75" customHeight="1">
      <c r="A22" s="230">
        <v>156</v>
      </c>
      <c r="B22" s="229" t="s">
        <v>36</v>
      </c>
      <c r="C22" s="384" t="s">
        <v>38</v>
      </c>
      <c r="D22" s="384"/>
      <c r="E22" s="384"/>
      <c r="F22" s="384"/>
      <c r="G22" s="384"/>
    </row>
    <row r="23" spans="1:7" ht="32.25" customHeight="1">
      <c r="A23" s="230">
        <v>156</v>
      </c>
      <c r="B23" s="229" t="s">
        <v>37</v>
      </c>
      <c r="C23" s="384" t="s">
        <v>39</v>
      </c>
      <c r="D23" s="384"/>
      <c r="E23" s="384"/>
      <c r="F23" s="384"/>
      <c r="G23" s="384"/>
    </row>
    <row r="24" spans="1:7" ht="24.75" customHeight="1">
      <c r="A24" s="230">
        <v>156</v>
      </c>
      <c r="B24" s="229" t="s">
        <v>85</v>
      </c>
      <c r="C24" s="380" t="s">
        <v>280</v>
      </c>
      <c r="D24" s="381"/>
      <c r="E24" s="381"/>
      <c r="F24" s="381"/>
      <c r="G24" s="382"/>
    </row>
    <row r="25" spans="1:7" ht="24.75" customHeight="1">
      <c r="A25" s="228">
        <v>156</v>
      </c>
      <c r="B25" s="229" t="s">
        <v>86</v>
      </c>
      <c r="C25" s="380" t="s">
        <v>281</v>
      </c>
      <c r="D25" s="381"/>
      <c r="E25" s="381"/>
      <c r="F25" s="381"/>
      <c r="G25" s="382"/>
    </row>
    <row r="26" ht="12.75" customHeight="1">
      <c r="G26" s="135" t="s">
        <v>564</v>
      </c>
    </row>
    <row r="27" ht="57" customHeight="1"/>
  </sheetData>
  <sheetProtection/>
  <mergeCells count="18">
    <mergeCell ref="C25:G25"/>
    <mergeCell ref="C22:G22"/>
    <mergeCell ref="C23:G23"/>
    <mergeCell ref="C18:G18"/>
    <mergeCell ref="A19:G19"/>
    <mergeCell ref="A16:G16"/>
    <mergeCell ref="A15:G15"/>
    <mergeCell ref="A14:G14"/>
    <mergeCell ref="D6:F6"/>
    <mergeCell ref="C24:G24"/>
    <mergeCell ref="C20:G20"/>
    <mergeCell ref="C21:G21"/>
    <mergeCell ref="D2:G2"/>
    <mergeCell ref="D3:G3"/>
    <mergeCell ref="D4:G4"/>
    <mergeCell ref="D12:G12"/>
    <mergeCell ref="D7:G7"/>
    <mergeCell ref="D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9"/>
  <sheetViews>
    <sheetView zoomScalePageLayoutView="0" workbookViewId="0" topLeftCell="A42">
      <selection activeCell="D37" sqref="D37"/>
    </sheetView>
  </sheetViews>
  <sheetFormatPr defaultColWidth="9.140625" defaultRowHeight="12.75"/>
  <cols>
    <col min="1" max="1" width="60.57421875" style="0" customWidth="1"/>
    <col min="2" max="2" width="6.00390625" style="0" customWidth="1"/>
    <col min="3" max="3" width="6.421875" style="0" customWidth="1"/>
    <col min="4" max="4" width="14.00390625" style="41" customWidth="1"/>
    <col min="5" max="5" width="13.57421875" style="0" customWidth="1"/>
    <col min="6" max="6" width="12.8515625" style="0" customWidth="1"/>
  </cols>
  <sheetData>
    <row r="1" spans="2:4" ht="12.75">
      <c r="B1" s="29"/>
      <c r="C1" s="29"/>
      <c r="D1" s="40"/>
    </row>
    <row r="2" spans="2:6" ht="15.75">
      <c r="B2" s="43"/>
      <c r="C2" s="43"/>
      <c r="D2" s="323" t="s">
        <v>270</v>
      </c>
      <c r="E2" s="323"/>
      <c r="F2" s="323"/>
    </row>
    <row r="3" spans="2:6" ht="15.75">
      <c r="B3" s="43"/>
      <c r="C3" s="43"/>
      <c r="D3" s="323" t="s">
        <v>620</v>
      </c>
      <c r="E3" s="323"/>
      <c r="F3" s="323"/>
    </row>
    <row r="4" spans="2:6" ht="15.75">
      <c r="B4" s="43"/>
      <c r="C4" s="43"/>
      <c r="D4" s="323" t="s">
        <v>618</v>
      </c>
      <c r="E4" s="333"/>
      <c r="F4" s="333"/>
    </row>
    <row r="5" spans="2:6" ht="15.75">
      <c r="B5" s="43"/>
      <c r="C5" s="43"/>
      <c r="D5" s="323" t="s">
        <v>290</v>
      </c>
      <c r="E5" s="323"/>
      <c r="F5" s="323"/>
    </row>
    <row r="6" spans="2:6" ht="15.75">
      <c r="B6" s="43"/>
      <c r="C6" s="43"/>
      <c r="D6" s="128"/>
      <c r="E6" s="128"/>
      <c r="F6" s="128"/>
    </row>
    <row r="7" spans="2:6" ht="15.75">
      <c r="B7" s="43"/>
      <c r="C7" s="43"/>
      <c r="D7" s="323" t="s">
        <v>566</v>
      </c>
      <c r="E7" s="323"/>
      <c r="F7" s="323"/>
    </row>
    <row r="8" spans="2:6" ht="15.75">
      <c r="B8" s="43"/>
      <c r="C8" s="43"/>
      <c r="D8" s="323" t="s">
        <v>264</v>
      </c>
      <c r="E8" s="323"/>
      <c r="F8" s="323"/>
    </row>
    <row r="9" spans="2:6" ht="15.75">
      <c r="B9" s="43"/>
      <c r="C9" s="43"/>
      <c r="D9" s="323" t="s">
        <v>626</v>
      </c>
      <c r="E9" s="323"/>
      <c r="F9" s="323"/>
    </row>
    <row r="10" spans="2:6" ht="15.75">
      <c r="B10" s="43"/>
      <c r="C10" s="43"/>
      <c r="D10" s="334" t="s">
        <v>618</v>
      </c>
      <c r="E10" s="334"/>
      <c r="F10" s="334"/>
    </row>
    <row r="11" spans="2:6" ht="15.75">
      <c r="B11" s="43"/>
      <c r="C11" s="43"/>
      <c r="D11" s="334" t="s">
        <v>504</v>
      </c>
      <c r="E11" s="334"/>
      <c r="F11" s="334"/>
    </row>
    <row r="12" spans="2:6" ht="15.75">
      <c r="B12" s="43"/>
      <c r="C12" s="43"/>
      <c r="D12" s="49" t="s">
        <v>505</v>
      </c>
      <c r="E12" s="50"/>
      <c r="F12" s="50"/>
    </row>
    <row r="13" spans="2:6" ht="15.75">
      <c r="B13" s="43"/>
      <c r="C13" s="43"/>
      <c r="D13" s="324" t="s">
        <v>556</v>
      </c>
      <c r="E13" s="324"/>
      <c r="F13" s="324"/>
    </row>
    <row r="14" spans="2:4" ht="15.75">
      <c r="B14" s="43"/>
      <c r="C14" s="43"/>
      <c r="D14" s="43"/>
    </row>
    <row r="15" spans="1:6" ht="18.75">
      <c r="A15" s="391" t="s">
        <v>169</v>
      </c>
      <c r="B15" s="340"/>
      <c r="C15" s="340"/>
      <c r="D15" s="340"/>
      <c r="E15" s="340"/>
      <c r="F15" s="340"/>
    </row>
    <row r="16" spans="1:6" ht="18.75">
      <c r="A16" s="331" t="s">
        <v>511</v>
      </c>
      <c r="B16" s="340"/>
      <c r="C16" s="340"/>
      <c r="D16" s="340"/>
      <c r="E16" s="340"/>
      <c r="F16" s="340"/>
    </row>
    <row r="17" spans="1:6" ht="19.5">
      <c r="A17" s="28"/>
      <c r="B17" s="27"/>
      <c r="C17" s="27"/>
      <c r="D17" s="42"/>
      <c r="E17" s="118"/>
      <c r="F17" s="3" t="s">
        <v>257</v>
      </c>
    </row>
    <row r="18" spans="1:6" ht="19.5" customHeight="1">
      <c r="A18" s="392" t="s">
        <v>142</v>
      </c>
      <c r="B18" s="392" t="s">
        <v>143</v>
      </c>
      <c r="C18" s="392" t="s">
        <v>144</v>
      </c>
      <c r="D18" s="393" t="s">
        <v>15</v>
      </c>
      <c r="E18" s="393"/>
      <c r="F18" s="393"/>
    </row>
    <row r="19" spans="1:6" ht="21.75" customHeight="1">
      <c r="A19" s="336"/>
      <c r="B19" s="336"/>
      <c r="C19" s="336"/>
      <c r="D19" s="116" t="s">
        <v>326</v>
      </c>
      <c r="E19" s="117" t="s">
        <v>399</v>
      </c>
      <c r="F19" s="117" t="s">
        <v>512</v>
      </c>
    </row>
    <row r="20" spans="1:6" ht="16.5" customHeight="1">
      <c r="A20" s="61">
        <v>1</v>
      </c>
      <c r="B20" s="61">
        <v>2</v>
      </c>
      <c r="C20" s="61">
        <v>3</v>
      </c>
      <c r="D20" s="95">
        <v>4</v>
      </c>
      <c r="E20" s="45">
        <v>5</v>
      </c>
      <c r="F20" s="45">
        <v>6</v>
      </c>
    </row>
    <row r="21" spans="1:6" ht="19.5" customHeight="1">
      <c r="A21" s="96" t="s">
        <v>145</v>
      </c>
      <c r="B21" s="79" t="s">
        <v>170</v>
      </c>
      <c r="C21" s="79" t="s">
        <v>171</v>
      </c>
      <c r="D21" s="244">
        <f>D22+D23+D24+D25+D27+D28+D26</f>
        <v>12686.7</v>
      </c>
      <c r="E21" s="244">
        <f>E22+E23+E24+E25+E27+E28+E26</f>
        <v>5434.9</v>
      </c>
      <c r="F21" s="244">
        <f>F22+F23+F24+F25+F27+F28+F26</f>
        <v>10434.9</v>
      </c>
    </row>
    <row r="22" spans="1:6" ht="35.25" customHeight="1" hidden="1">
      <c r="A22" s="60" t="s">
        <v>146</v>
      </c>
      <c r="B22" s="80" t="s">
        <v>170</v>
      </c>
      <c r="C22" s="80" t="s">
        <v>172</v>
      </c>
      <c r="D22" s="245">
        <f>'прил.7'!G25</f>
        <v>0</v>
      </c>
      <c r="E22" s="245">
        <f>'прил.7'!H25</f>
        <v>0</v>
      </c>
      <c r="F22" s="245">
        <f>'прил.7'!I25</f>
        <v>0</v>
      </c>
    </row>
    <row r="23" spans="1:6" ht="48.75" customHeight="1" hidden="1">
      <c r="A23" s="60" t="s">
        <v>182</v>
      </c>
      <c r="B23" s="80" t="s">
        <v>170</v>
      </c>
      <c r="C23" s="80" t="s">
        <v>173</v>
      </c>
      <c r="D23" s="245">
        <f>'прил.7'!G32</f>
        <v>0</v>
      </c>
      <c r="E23" s="245">
        <f>'прил.7'!H32</f>
        <v>0</v>
      </c>
      <c r="F23" s="245">
        <f>'прил.7'!I32</f>
        <v>0</v>
      </c>
    </row>
    <row r="24" spans="1:6" ht="48" customHeight="1">
      <c r="A24" s="60" t="s">
        <v>147</v>
      </c>
      <c r="B24" s="80" t="s">
        <v>170</v>
      </c>
      <c r="C24" s="80" t="s">
        <v>174</v>
      </c>
      <c r="D24" s="245">
        <f>'прил.6'!F36</f>
        <v>6303.700000000001</v>
      </c>
      <c r="E24" s="245">
        <f>'прил.6'!G36</f>
        <v>4939.9</v>
      </c>
      <c r="F24" s="245">
        <f>'прил.6'!H36</f>
        <v>4939.9</v>
      </c>
    </row>
    <row r="25" spans="1:6" ht="50.25" customHeight="1">
      <c r="A25" s="60" t="s">
        <v>246</v>
      </c>
      <c r="B25" s="80" t="s">
        <v>170</v>
      </c>
      <c r="C25" s="80" t="s">
        <v>107</v>
      </c>
      <c r="D25" s="246">
        <f>'прил.7'!G61</f>
        <v>79.9</v>
      </c>
      <c r="E25" s="246">
        <f>'прил.7'!H61</f>
        <v>0</v>
      </c>
      <c r="F25" s="246">
        <f>'прил.7'!I61</f>
        <v>0</v>
      </c>
    </row>
    <row r="26" spans="1:6" ht="16.5" customHeight="1" hidden="1">
      <c r="A26" s="60" t="s">
        <v>209</v>
      </c>
      <c r="B26" s="80" t="s">
        <v>170</v>
      </c>
      <c r="C26" s="80" t="s">
        <v>110</v>
      </c>
      <c r="D26" s="246">
        <f>'прил.7'!G64</f>
        <v>0</v>
      </c>
      <c r="E26" s="246">
        <f>'прил.7'!H64</f>
        <v>0</v>
      </c>
      <c r="F26" s="246">
        <f>'прил.7'!I64</f>
        <v>0</v>
      </c>
    </row>
    <row r="27" spans="1:6" ht="20.25" customHeight="1">
      <c r="A27" s="60" t="s">
        <v>148</v>
      </c>
      <c r="B27" s="80" t="s">
        <v>170</v>
      </c>
      <c r="C27" s="80">
        <v>11</v>
      </c>
      <c r="D27" s="245">
        <f>'прил.7'!G65</f>
        <v>0</v>
      </c>
      <c r="E27" s="245">
        <f>'прил.7'!H65</f>
        <v>300</v>
      </c>
      <c r="F27" s="245">
        <f>'прил.7'!I65</f>
        <v>300</v>
      </c>
    </row>
    <row r="28" spans="1:6" ht="21" customHeight="1">
      <c r="A28" s="60" t="s">
        <v>149</v>
      </c>
      <c r="B28" s="80" t="s">
        <v>170</v>
      </c>
      <c r="C28" s="80">
        <v>13</v>
      </c>
      <c r="D28" s="245">
        <f>'прил.7'!G69</f>
        <v>6303.099999999999</v>
      </c>
      <c r="E28" s="245">
        <f>'прил.7'!H69</f>
        <v>195</v>
      </c>
      <c r="F28" s="245">
        <f>'прил.7'!I69</f>
        <v>5195</v>
      </c>
    </row>
    <row r="29" spans="1:6" ht="19.5" customHeight="1">
      <c r="A29" s="75" t="s">
        <v>150</v>
      </c>
      <c r="B29" s="79" t="s">
        <v>172</v>
      </c>
      <c r="C29" s="79" t="s">
        <v>171</v>
      </c>
      <c r="D29" s="244">
        <f>D30</f>
        <v>261.2</v>
      </c>
      <c r="E29" s="244">
        <f>E30</f>
        <v>263.9</v>
      </c>
      <c r="F29" s="244">
        <f>F30</f>
        <v>274.2</v>
      </c>
    </row>
    <row r="30" spans="1:6" ht="21" customHeight="1">
      <c r="A30" s="60" t="s">
        <v>151</v>
      </c>
      <c r="B30" s="80" t="s">
        <v>172</v>
      </c>
      <c r="C30" s="80" t="s">
        <v>173</v>
      </c>
      <c r="D30" s="245">
        <f>'прил.7'!G97</f>
        <v>261.2</v>
      </c>
      <c r="E30" s="245">
        <f>'прил.7'!H97</f>
        <v>263.9</v>
      </c>
      <c r="F30" s="245">
        <f>'прил.7'!I97</f>
        <v>274.2</v>
      </c>
    </row>
    <row r="31" spans="1:6" ht="25.5" customHeight="1">
      <c r="A31" s="75" t="s">
        <v>152</v>
      </c>
      <c r="B31" s="79" t="s">
        <v>173</v>
      </c>
      <c r="C31" s="79" t="s">
        <v>171</v>
      </c>
      <c r="D31" s="244">
        <f>D32+D33</f>
        <v>1816.3</v>
      </c>
      <c r="E31" s="244">
        <f>E32+E33</f>
        <v>400</v>
      </c>
      <c r="F31" s="244">
        <f>F32+F33</f>
        <v>400</v>
      </c>
    </row>
    <row r="32" spans="1:6" ht="36.75" customHeight="1" hidden="1">
      <c r="A32" s="60" t="s">
        <v>33</v>
      </c>
      <c r="B32" s="80" t="s">
        <v>173</v>
      </c>
      <c r="C32" s="80" t="s">
        <v>108</v>
      </c>
      <c r="D32" s="245">
        <f>'прил.7'!G104</f>
        <v>0</v>
      </c>
      <c r="E32" s="245">
        <f>'прил.7'!H108</f>
        <v>0</v>
      </c>
      <c r="F32" s="245">
        <f>'прил.7'!I108</f>
        <v>0</v>
      </c>
    </row>
    <row r="33" spans="1:6" ht="47.25" customHeight="1">
      <c r="A33" s="60" t="s">
        <v>549</v>
      </c>
      <c r="B33" s="80" t="s">
        <v>173</v>
      </c>
      <c r="C33" s="80">
        <v>10</v>
      </c>
      <c r="D33" s="245">
        <f>'прил.7'!G110</f>
        <v>1816.3</v>
      </c>
      <c r="E33" s="245">
        <f>'прил.7'!H110</f>
        <v>400</v>
      </c>
      <c r="F33" s="245">
        <f>'прил.7'!I110</f>
        <v>400</v>
      </c>
    </row>
    <row r="34" spans="1:6" ht="18.75" customHeight="1">
      <c r="A34" s="75" t="s">
        <v>153</v>
      </c>
      <c r="B34" s="79" t="s">
        <v>174</v>
      </c>
      <c r="C34" s="79" t="s">
        <v>171</v>
      </c>
      <c r="D34" s="244">
        <f>D35+D36</f>
        <v>24791.899999999998</v>
      </c>
      <c r="E34" s="244">
        <f>E35+E36</f>
        <v>2295</v>
      </c>
      <c r="F34" s="244">
        <f>F35+F36</f>
        <v>2438</v>
      </c>
    </row>
    <row r="35" spans="1:6" ht="18" customHeight="1">
      <c r="A35" s="60" t="s">
        <v>154</v>
      </c>
      <c r="B35" s="80" t="s">
        <v>174</v>
      </c>
      <c r="C35" s="80" t="s">
        <v>108</v>
      </c>
      <c r="D35" s="245">
        <f>'прил.7'!G122</f>
        <v>24536.899999999998</v>
      </c>
      <c r="E35" s="245">
        <f>'прил.7'!H122</f>
        <v>2295</v>
      </c>
      <c r="F35" s="245">
        <f>'прил.7'!I122</f>
        <v>2438</v>
      </c>
    </row>
    <row r="36" spans="1:6" ht="19.5" customHeight="1">
      <c r="A36" s="60" t="s">
        <v>552</v>
      </c>
      <c r="B36" s="80" t="s">
        <v>174</v>
      </c>
      <c r="C36" s="80" t="s">
        <v>551</v>
      </c>
      <c r="D36" s="245">
        <f>'прил.7'!G148</f>
        <v>255.00000000000023</v>
      </c>
      <c r="E36" s="245">
        <f>'прил.7'!H148</f>
        <v>0</v>
      </c>
      <c r="F36" s="245">
        <f>'прил.7'!I148</f>
        <v>0</v>
      </c>
    </row>
    <row r="37" spans="1:6" ht="19.5" customHeight="1">
      <c r="A37" s="75" t="s">
        <v>155</v>
      </c>
      <c r="B37" s="79" t="s">
        <v>109</v>
      </c>
      <c r="C37" s="79" t="s">
        <v>171</v>
      </c>
      <c r="D37" s="244">
        <f>D38+D39+D40+D41</f>
        <v>138969.8</v>
      </c>
      <c r="E37" s="244">
        <f>E38+E39+E40+E41</f>
        <v>29864</v>
      </c>
      <c r="F37" s="244">
        <f>F38+F39+F40+F41</f>
        <v>28010.5</v>
      </c>
    </row>
    <row r="38" spans="1:6" ht="21.75" customHeight="1">
      <c r="A38" s="60" t="s">
        <v>156</v>
      </c>
      <c r="B38" s="80" t="s">
        <v>109</v>
      </c>
      <c r="C38" s="80" t="s">
        <v>170</v>
      </c>
      <c r="D38" s="245">
        <f>'прил.7'!G154</f>
        <v>793.1</v>
      </c>
      <c r="E38" s="245">
        <f>'прил.7'!H156</f>
        <v>505</v>
      </c>
      <c r="F38" s="245">
        <f>'прил.7'!I156</f>
        <v>1505</v>
      </c>
    </row>
    <row r="39" spans="1:6" ht="19.5" customHeight="1">
      <c r="A39" s="60" t="s">
        <v>157</v>
      </c>
      <c r="B39" s="80" t="s">
        <v>109</v>
      </c>
      <c r="C39" s="80" t="s">
        <v>172</v>
      </c>
      <c r="D39" s="245">
        <f>'прил.7'!G165</f>
        <v>49166.9</v>
      </c>
      <c r="E39" s="245">
        <f>'прил.7'!H165</f>
        <v>22653.5</v>
      </c>
      <c r="F39" s="245">
        <f>'прил.7'!I165</f>
        <v>7400</v>
      </c>
    </row>
    <row r="40" spans="1:6" ht="18" customHeight="1">
      <c r="A40" s="60" t="s">
        <v>158</v>
      </c>
      <c r="B40" s="80" t="s">
        <v>109</v>
      </c>
      <c r="C40" s="80" t="s">
        <v>173</v>
      </c>
      <c r="D40" s="245">
        <f>'прил.7'!G187</f>
        <v>81624.50000000001</v>
      </c>
      <c r="E40" s="245">
        <f>'прил.7'!H187</f>
        <v>6505.5</v>
      </c>
      <c r="F40" s="245">
        <f>'прил.7'!I187</f>
        <v>12105.5</v>
      </c>
    </row>
    <row r="41" spans="1:6" ht="33" customHeight="1">
      <c r="A41" s="60" t="s">
        <v>159</v>
      </c>
      <c r="B41" s="80" t="s">
        <v>109</v>
      </c>
      <c r="C41" s="80" t="s">
        <v>109</v>
      </c>
      <c r="D41" s="245">
        <f>'прил.7'!G230</f>
        <v>7385.3</v>
      </c>
      <c r="E41" s="247">
        <f>'прил.7'!H230</f>
        <v>200</v>
      </c>
      <c r="F41" s="245">
        <f>'прил.7'!I230</f>
        <v>7000</v>
      </c>
    </row>
    <row r="42" spans="1:6" ht="16.5" customHeight="1">
      <c r="A42" s="75" t="s">
        <v>160</v>
      </c>
      <c r="B42" s="79" t="s">
        <v>110</v>
      </c>
      <c r="C42" s="79" t="s">
        <v>171</v>
      </c>
      <c r="D42" s="244">
        <f>D43</f>
        <v>25.2</v>
      </c>
      <c r="E42" s="244">
        <f>E43</f>
        <v>0</v>
      </c>
      <c r="F42" s="244">
        <f>F43</f>
        <v>0</v>
      </c>
    </row>
    <row r="43" spans="1:6" ht="16.5" customHeight="1">
      <c r="A43" s="60" t="s">
        <v>216</v>
      </c>
      <c r="B43" s="80" t="s">
        <v>110</v>
      </c>
      <c r="C43" s="80" t="s">
        <v>110</v>
      </c>
      <c r="D43" s="245">
        <f>'прил.7'!G236</f>
        <v>25.2</v>
      </c>
      <c r="E43" s="245">
        <f>'прил.7'!H236</f>
        <v>0</v>
      </c>
      <c r="F43" s="245">
        <f>'прил.7'!I236</f>
        <v>0</v>
      </c>
    </row>
    <row r="44" spans="1:6" ht="16.5" customHeight="1">
      <c r="A44" s="310" t="s">
        <v>601</v>
      </c>
      <c r="B44" s="91" t="s">
        <v>600</v>
      </c>
      <c r="C44" s="91" t="s">
        <v>171</v>
      </c>
      <c r="D44" s="309">
        <f>D45</f>
        <v>400</v>
      </c>
      <c r="E44" s="309">
        <f>E45</f>
        <v>0</v>
      </c>
      <c r="F44" s="309">
        <f>F45</f>
        <v>0</v>
      </c>
    </row>
    <row r="45" spans="1:6" ht="16.5" customHeight="1">
      <c r="A45" s="60" t="s">
        <v>602</v>
      </c>
      <c r="B45" s="80" t="s">
        <v>600</v>
      </c>
      <c r="C45" s="80" t="s">
        <v>174</v>
      </c>
      <c r="D45" s="245">
        <f>'прил.7'!G241</f>
        <v>400</v>
      </c>
      <c r="E45" s="245">
        <f>'прил.7'!H241</f>
        <v>0</v>
      </c>
      <c r="F45" s="245">
        <f>'прил.7'!I241</f>
        <v>0</v>
      </c>
    </row>
    <row r="46" spans="1:6" ht="18" customHeight="1">
      <c r="A46" s="75" t="s">
        <v>161</v>
      </c>
      <c r="B46" s="79">
        <v>10</v>
      </c>
      <c r="C46" s="79" t="s">
        <v>171</v>
      </c>
      <c r="D46" s="244">
        <f>D47+D48+D49</f>
        <v>770.7</v>
      </c>
      <c r="E46" s="244">
        <f>E47+E48+E49</f>
        <v>320</v>
      </c>
      <c r="F46" s="244">
        <f>F47+F48+F49</f>
        <v>320</v>
      </c>
    </row>
    <row r="47" spans="1:6" ht="21" customHeight="1">
      <c r="A47" s="60" t="s">
        <v>3</v>
      </c>
      <c r="B47" s="80">
        <v>10</v>
      </c>
      <c r="C47" s="80" t="s">
        <v>170</v>
      </c>
      <c r="D47" s="245">
        <f>'прил.7'!G247</f>
        <v>319.7</v>
      </c>
      <c r="E47" s="245">
        <f>'прил.7'!H247</f>
        <v>320</v>
      </c>
      <c r="F47" s="245">
        <f>'прил.7'!I247</f>
        <v>320</v>
      </c>
    </row>
    <row r="48" spans="1:6" ht="21" customHeight="1">
      <c r="A48" s="60" t="s">
        <v>659</v>
      </c>
      <c r="B48" s="80" t="s">
        <v>111</v>
      </c>
      <c r="C48" s="80" t="s">
        <v>173</v>
      </c>
      <c r="D48" s="245">
        <f>'прил.7'!G248</f>
        <v>1</v>
      </c>
      <c r="E48" s="245">
        <f>'прил.7'!H248</f>
        <v>0</v>
      </c>
      <c r="F48" s="245">
        <f>'прил.7'!I248</f>
        <v>0</v>
      </c>
    </row>
    <row r="49" spans="1:6" ht="19.5" customHeight="1">
      <c r="A49" s="60" t="s">
        <v>651</v>
      </c>
      <c r="B49" s="80" t="s">
        <v>111</v>
      </c>
      <c r="C49" s="80" t="s">
        <v>107</v>
      </c>
      <c r="D49" s="245">
        <f>'прил.7'!G251</f>
        <v>450</v>
      </c>
      <c r="E49" s="245">
        <f>'прил.7'!H251</f>
        <v>0</v>
      </c>
      <c r="F49" s="245">
        <f>'прил.7'!I251</f>
        <v>0</v>
      </c>
    </row>
    <row r="50" spans="1:6" ht="17.25" customHeight="1" hidden="1">
      <c r="A50" s="75" t="s">
        <v>162</v>
      </c>
      <c r="B50" s="79">
        <v>11</v>
      </c>
      <c r="C50" s="79" t="s">
        <v>171</v>
      </c>
      <c r="D50" s="244">
        <f>D51</f>
        <v>0</v>
      </c>
      <c r="E50" s="244">
        <f>E51</f>
        <v>0</v>
      </c>
      <c r="F50" s="244">
        <f>F51</f>
        <v>0</v>
      </c>
    </row>
    <row r="51" spans="1:6" ht="18.75" customHeight="1" hidden="1">
      <c r="A51" s="60" t="s">
        <v>163</v>
      </c>
      <c r="B51" s="80">
        <v>11</v>
      </c>
      <c r="C51" s="80" t="s">
        <v>170</v>
      </c>
      <c r="D51" s="245">
        <f>'прил.7'!G259</f>
        <v>0</v>
      </c>
      <c r="E51" s="245">
        <f>'прил.7'!H259</f>
        <v>0</v>
      </c>
      <c r="F51" s="245">
        <f>'прил.7'!I259</f>
        <v>0</v>
      </c>
    </row>
    <row r="52" spans="1:6" ht="17.25" customHeight="1">
      <c r="A52" s="75" t="s">
        <v>164</v>
      </c>
      <c r="B52" s="79">
        <v>12</v>
      </c>
      <c r="C52" s="79" t="s">
        <v>171</v>
      </c>
      <c r="D52" s="244">
        <f>D53</f>
        <v>97.6</v>
      </c>
      <c r="E52" s="244">
        <f>E53</f>
        <v>190</v>
      </c>
      <c r="F52" s="244">
        <f>F53</f>
        <v>190</v>
      </c>
    </row>
    <row r="53" spans="1:6" ht="18.75" customHeight="1">
      <c r="A53" s="60" t="s">
        <v>165</v>
      </c>
      <c r="B53" s="80">
        <v>12</v>
      </c>
      <c r="C53" s="80" t="s">
        <v>172</v>
      </c>
      <c r="D53" s="245">
        <f>'прил.7'!G263</f>
        <v>97.6</v>
      </c>
      <c r="E53" s="245">
        <f>'прил.7'!H263</f>
        <v>190</v>
      </c>
      <c r="F53" s="245">
        <f>'прил.7'!I263</f>
        <v>190</v>
      </c>
    </row>
    <row r="54" spans="1:6" ht="25.5" customHeight="1" hidden="1">
      <c r="A54" s="75" t="s">
        <v>166</v>
      </c>
      <c r="B54" s="79">
        <v>13</v>
      </c>
      <c r="C54" s="79" t="s">
        <v>171</v>
      </c>
      <c r="D54" s="244">
        <f>D55</f>
        <v>0</v>
      </c>
      <c r="E54" s="244">
        <f>E55</f>
        <v>0</v>
      </c>
      <c r="F54" s="244">
        <f>F55</f>
        <v>0</v>
      </c>
    </row>
    <row r="55" spans="1:6" ht="31.5" customHeight="1" hidden="1">
      <c r="A55" s="60" t="s">
        <v>167</v>
      </c>
      <c r="B55" s="80">
        <v>13</v>
      </c>
      <c r="C55" s="80" t="s">
        <v>170</v>
      </c>
      <c r="D55" s="245">
        <f>'прил.7'!G267</f>
        <v>0</v>
      </c>
      <c r="E55" s="245">
        <f>'прил.7'!H267</f>
        <v>0</v>
      </c>
      <c r="F55" s="245">
        <f>'прил.7'!I267</f>
        <v>0</v>
      </c>
    </row>
    <row r="56" spans="1:6" ht="15.75">
      <c r="A56" s="75" t="s">
        <v>168</v>
      </c>
      <c r="B56" s="59"/>
      <c r="C56" s="59"/>
      <c r="D56" s="244">
        <f>D54+D52+D50+D46+D44+D42+D37+D34+D31+D29+D21</f>
        <v>179819.4</v>
      </c>
      <c r="E56" s="244">
        <f>E54+E52+E50+E46+E44+E42+E37+E34+E31+E29+E21</f>
        <v>38767.8</v>
      </c>
      <c r="F56" s="244">
        <f>F54+F52+F50+F46+F44+F42+F37+F34+F31+F29+F21</f>
        <v>42067.6</v>
      </c>
    </row>
    <row r="57" spans="1:6" ht="15.75">
      <c r="A57" s="60" t="s">
        <v>212</v>
      </c>
      <c r="B57" s="59"/>
      <c r="C57" s="59"/>
      <c r="D57" s="244">
        <f>'прил.7'!G269</f>
        <v>0</v>
      </c>
      <c r="E57" s="244">
        <f>'прил.7'!H269</f>
        <v>1023</v>
      </c>
      <c r="F57" s="244">
        <f>'прил.7'!I269</f>
        <v>2503.2</v>
      </c>
    </row>
    <row r="58" spans="1:6" ht="15.75">
      <c r="A58" s="75" t="s">
        <v>168</v>
      </c>
      <c r="B58" s="59"/>
      <c r="C58" s="59"/>
      <c r="D58" s="244">
        <f>D56+D57</f>
        <v>179819.4</v>
      </c>
      <c r="E58" s="244">
        <f>E56+E57</f>
        <v>39790.8</v>
      </c>
      <c r="F58" s="244">
        <f>F56+F57</f>
        <v>44570.799999999996</v>
      </c>
    </row>
    <row r="59" ht="12.75">
      <c r="F59" s="132" t="s">
        <v>564</v>
      </c>
    </row>
  </sheetData>
  <sheetProtection/>
  <mergeCells count="16">
    <mergeCell ref="D3:F3"/>
    <mergeCell ref="B18:B19"/>
    <mergeCell ref="C18:C19"/>
    <mergeCell ref="A16:F16"/>
    <mergeCell ref="D2:F2"/>
    <mergeCell ref="D8:F8"/>
    <mergeCell ref="D10:F10"/>
    <mergeCell ref="D11:F11"/>
    <mergeCell ref="A18:A19"/>
    <mergeCell ref="D18:F18"/>
    <mergeCell ref="D5:F5"/>
    <mergeCell ref="D7:F7"/>
    <mergeCell ref="D9:F9"/>
    <mergeCell ref="A15:F15"/>
    <mergeCell ref="D4:F4"/>
    <mergeCell ref="D13:F13"/>
  </mergeCells>
  <printOptions/>
  <pageMargins left="0.7480314960629921" right="0.7480314960629921" top="0.4330708661417323" bottom="0.5511811023622047" header="0.2362204724409449" footer="0.275590551181102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H268"/>
  <sheetViews>
    <sheetView zoomScalePageLayoutView="0" workbookViewId="0" topLeftCell="A87">
      <selection activeCell="F97" sqref="F97"/>
    </sheetView>
  </sheetViews>
  <sheetFormatPr defaultColWidth="9.140625" defaultRowHeight="12.75"/>
  <cols>
    <col min="1" max="1" width="41.8515625" style="0" customWidth="1"/>
    <col min="2" max="2" width="5.28125" style="0" customWidth="1"/>
    <col min="3" max="3" width="4.28125" style="0" customWidth="1"/>
    <col min="4" max="4" width="14.421875" style="0" customWidth="1"/>
    <col min="5" max="5" width="6.7109375" style="0" customWidth="1"/>
    <col min="6" max="6" width="14.140625" style="41" customWidth="1"/>
    <col min="7" max="7" width="13.28125" style="0" customWidth="1"/>
    <col min="8" max="8" width="13.140625" style="0" customWidth="1"/>
  </cols>
  <sheetData>
    <row r="2" spans="6:8" ht="15.75">
      <c r="F2" s="130" t="s">
        <v>652</v>
      </c>
      <c r="G2" s="3"/>
      <c r="H2" s="3"/>
    </row>
    <row r="3" spans="6:8" ht="15.75">
      <c r="F3" s="130" t="s">
        <v>616</v>
      </c>
      <c r="G3" s="3"/>
      <c r="H3" s="3"/>
    </row>
    <row r="4" spans="6:8" ht="13.5">
      <c r="F4" s="397" t="s">
        <v>617</v>
      </c>
      <c r="G4" s="333"/>
      <c r="H4" s="333"/>
    </row>
    <row r="5" spans="6:8" ht="15.75">
      <c r="F5" s="130" t="s">
        <v>291</v>
      </c>
      <c r="G5" s="3"/>
      <c r="H5" s="3"/>
    </row>
    <row r="7" spans="4:8" ht="15.75">
      <c r="D7" s="29"/>
      <c r="E7" s="29"/>
      <c r="F7" s="394" t="s">
        <v>567</v>
      </c>
      <c r="G7" s="394"/>
      <c r="H7" s="394"/>
    </row>
    <row r="8" spans="4:8" ht="64.5" customHeight="1">
      <c r="D8" s="29"/>
      <c r="E8" s="29"/>
      <c r="F8" s="394" t="s">
        <v>627</v>
      </c>
      <c r="G8" s="394"/>
      <c r="H8" s="394"/>
    </row>
    <row r="9" spans="6:8" ht="15.75">
      <c r="F9" s="130" t="s">
        <v>557</v>
      </c>
      <c r="G9" s="3"/>
      <c r="H9" s="3"/>
    </row>
    <row r="10" ht="15.75">
      <c r="A10" s="8"/>
    </row>
    <row r="11" spans="1:8" ht="18.75">
      <c r="A11" s="339" t="s">
        <v>247</v>
      </c>
      <c r="B11" s="339"/>
      <c r="C11" s="339"/>
      <c r="D11" s="339"/>
      <c r="E11" s="339"/>
      <c r="F11" s="339"/>
      <c r="G11" s="340"/>
      <c r="H11" s="340"/>
    </row>
    <row r="12" spans="1:8" ht="18.75">
      <c r="A12" s="339" t="s">
        <v>248</v>
      </c>
      <c r="B12" s="339"/>
      <c r="C12" s="339"/>
      <c r="D12" s="339"/>
      <c r="E12" s="339"/>
      <c r="F12" s="339"/>
      <c r="G12" s="340"/>
      <c r="H12" s="340"/>
    </row>
    <row r="13" spans="1:8" ht="18.75">
      <c r="A13" s="339" t="s">
        <v>249</v>
      </c>
      <c r="B13" s="339"/>
      <c r="C13" s="339"/>
      <c r="D13" s="339"/>
      <c r="E13" s="339"/>
      <c r="F13" s="339"/>
      <c r="G13" s="340"/>
      <c r="H13" s="340"/>
    </row>
    <row r="14" spans="1:8" ht="18.75">
      <c r="A14" s="331" t="s">
        <v>513</v>
      </c>
      <c r="B14" s="398"/>
      <c r="C14" s="398"/>
      <c r="D14" s="398"/>
      <c r="E14" s="398"/>
      <c r="F14" s="398"/>
      <c r="G14" s="398"/>
      <c r="H14" s="398"/>
    </row>
    <row r="15" spans="1:8" ht="19.5">
      <c r="A15" s="27"/>
      <c r="B15" s="14"/>
      <c r="C15" s="27"/>
      <c r="D15" s="27"/>
      <c r="E15" s="27"/>
      <c r="F15" s="42"/>
      <c r="H15" s="4" t="s">
        <v>258</v>
      </c>
    </row>
    <row r="16" spans="1:8" ht="18.75">
      <c r="A16" s="399" t="s">
        <v>260</v>
      </c>
      <c r="B16" s="395" t="s">
        <v>143</v>
      </c>
      <c r="C16" s="395" t="s">
        <v>175</v>
      </c>
      <c r="D16" s="395" t="s">
        <v>176</v>
      </c>
      <c r="E16" s="15"/>
      <c r="F16" s="393" t="s">
        <v>259</v>
      </c>
      <c r="G16" s="393"/>
      <c r="H16" s="393"/>
    </row>
    <row r="17" spans="1:8" ht="40.5">
      <c r="A17" s="396"/>
      <c r="B17" s="396"/>
      <c r="C17" s="396"/>
      <c r="D17" s="396"/>
      <c r="E17" s="75" t="s">
        <v>177</v>
      </c>
      <c r="F17" s="116" t="s">
        <v>326</v>
      </c>
      <c r="G17" s="117" t="s">
        <v>399</v>
      </c>
      <c r="H17" s="117" t="s">
        <v>512</v>
      </c>
    </row>
    <row r="18" spans="1:8" ht="12.75">
      <c r="A18" s="76">
        <v>1</v>
      </c>
      <c r="B18" s="76">
        <v>3</v>
      </c>
      <c r="C18" s="76">
        <v>4</v>
      </c>
      <c r="D18" s="76">
        <v>5</v>
      </c>
      <c r="E18" s="76">
        <v>6</v>
      </c>
      <c r="F18" s="93">
        <v>7</v>
      </c>
      <c r="G18" s="36">
        <v>8</v>
      </c>
      <c r="H18" s="36">
        <v>9</v>
      </c>
    </row>
    <row r="19" spans="1:8" ht="19.5">
      <c r="A19" s="78" t="s">
        <v>178</v>
      </c>
      <c r="B19" s="79" t="s">
        <v>170</v>
      </c>
      <c r="C19" s="79" t="s">
        <v>171</v>
      </c>
      <c r="D19" s="58"/>
      <c r="E19" s="58"/>
      <c r="F19" s="291">
        <f>'прил.7'!G22</f>
        <v>12686.7</v>
      </c>
      <c r="G19" s="291">
        <f>'прил.7'!H22</f>
        <v>5434.9</v>
      </c>
      <c r="H19" s="291">
        <f>'прил.7'!I22</f>
        <v>10434.9</v>
      </c>
    </row>
    <row r="20" spans="1:8" ht="63" hidden="1">
      <c r="A20" s="74" t="s">
        <v>146</v>
      </c>
      <c r="B20" s="79" t="s">
        <v>170</v>
      </c>
      <c r="C20" s="79" t="s">
        <v>172</v>
      </c>
      <c r="D20" s="64"/>
      <c r="E20" s="64"/>
      <c r="F20" s="291">
        <f>'прил.7'!G23</f>
        <v>0</v>
      </c>
      <c r="G20" s="291">
        <f>'прил.7'!H23</f>
        <v>0</v>
      </c>
      <c r="H20" s="291">
        <f>'прил.7'!I23</f>
        <v>0</v>
      </c>
    </row>
    <row r="21" spans="1:8" ht="31.5" hidden="1">
      <c r="A21" s="60" t="s">
        <v>179</v>
      </c>
      <c r="B21" s="80" t="s">
        <v>170</v>
      </c>
      <c r="C21" s="80" t="s">
        <v>172</v>
      </c>
      <c r="D21" s="61">
        <v>9100000000</v>
      </c>
      <c r="E21" s="61"/>
      <c r="F21" s="291">
        <f>'прил.7'!G24</f>
        <v>0</v>
      </c>
      <c r="G21" s="291">
        <f>'прил.7'!H24</f>
        <v>0</v>
      </c>
      <c r="H21" s="291">
        <f>'прил.7'!I24</f>
        <v>0</v>
      </c>
    </row>
    <row r="22" spans="1:8" ht="15.75" hidden="1">
      <c r="A22" s="60" t="s">
        <v>180</v>
      </c>
      <c r="B22" s="80" t="s">
        <v>170</v>
      </c>
      <c r="C22" s="80" t="s">
        <v>172</v>
      </c>
      <c r="D22" s="61">
        <v>9100000180</v>
      </c>
      <c r="E22" s="61"/>
      <c r="F22" s="291">
        <f>'прил.7'!G25</f>
        <v>0</v>
      </c>
      <c r="G22" s="291">
        <f>'прил.7'!H25</f>
        <v>0</v>
      </c>
      <c r="H22" s="291">
        <f>'прил.7'!I25</f>
        <v>0</v>
      </c>
    </row>
    <row r="23" spans="1:8" ht="31.5" hidden="1">
      <c r="A23" s="60" t="s">
        <v>181</v>
      </c>
      <c r="B23" s="80" t="s">
        <v>170</v>
      </c>
      <c r="C23" s="80" t="s">
        <v>172</v>
      </c>
      <c r="D23" s="61">
        <v>9100000180</v>
      </c>
      <c r="E23" s="61"/>
      <c r="F23" s="291">
        <f>'прил.7'!G26</f>
        <v>0</v>
      </c>
      <c r="G23" s="291">
        <f>'прил.7'!H26</f>
        <v>0</v>
      </c>
      <c r="H23" s="291">
        <f>'прил.7'!I26</f>
        <v>0</v>
      </c>
    </row>
    <row r="24" spans="1:8" ht="31.5" hidden="1">
      <c r="A24" s="60" t="s">
        <v>31</v>
      </c>
      <c r="B24" s="80" t="s">
        <v>170</v>
      </c>
      <c r="C24" s="80" t="s">
        <v>172</v>
      </c>
      <c r="D24" s="61">
        <v>9100000180</v>
      </c>
      <c r="E24" s="61">
        <v>121</v>
      </c>
      <c r="F24" s="291">
        <f>'прил.7'!G27</f>
        <v>0</v>
      </c>
      <c r="G24" s="291">
        <f>'прил.7'!H27</f>
        <v>0</v>
      </c>
      <c r="H24" s="291">
        <f>'прил.7'!I27</f>
        <v>0</v>
      </c>
    </row>
    <row r="25" spans="1:8" ht="47.25" hidden="1">
      <c r="A25" s="60" t="s">
        <v>32</v>
      </c>
      <c r="B25" s="80" t="s">
        <v>170</v>
      </c>
      <c r="C25" s="80" t="s">
        <v>172</v>
      </c>
      <c r="D25" s="61">
        <v>9100000180</v>
      </c>
      <c r="E25" s="61">
        <v>122</v>
      </c>
      <c r="F25" s="291">
        <f>'прил.7'!G28</f>
        <v>0</v>
      </c>
      <c r="G25" s="291">
        <f>'прил.7'!H28</f>
        <v>0</v>
      </c>
      <c r="H25" s="291">
        <f>'прил.7'!I28</f>
        <v>0</v>
      </c>
    </row>
    <row r="26" spans="1:8" ht="47.25" customHeight="1" hidden="1">
      <c r="A26" s="60" t="s">
        <v>2</v>
      </c>
      <c r="B26" s="80" t="s">
        <v>170</v>
      </c>
      <c r="C26" s="80" t="s">
        <v>172</v>
      </c>
      <c r="D26" s="61">
        <v>9100000180</v>
      </c>
      <c r="E26" s="61">
        <v>129</v>
      </c>
      <c r="F26" s="291">
        <f>'прил.7'!G29</f>
        <v>0</v>
      </c>
      <c r="G26" s="291">
        <f>'прил.7'!H29</f>
        <v>0</v>
      </c>
      <c r="H26" s="291">
        <f>'прил.7'!I29</f>
        <v>0</v>
      </c>
    </row>
    <row r="27" spans="1:8" ht="78.75" hidden="1">
      <c r="A27" s="74" t="s">
        <v>182</v>
      </c>
      <c r="B27" s="79" t="s">
        <v>170</v>
      </c>
      <c r="C27" s="79" t="s">
        <v>173</v>
      </c>
      <c r="D27" s="64"/>
      <c r="E27" s="64"/>
      <c r="F27" s="291">
        <f>'прил.7'!G30</f>
        <v>0</v>
      </c>
      <c r="G27" s="291">
        <f>'прил.7'!H30</f>
        <v>0</v>
      </c>
      <c r="H27" s="291">
        <f>'прил.7'!I30</f>
        <v>0</v>
      </c>
    </row>
    <row r="28" spans="1:8" ht="33.75" customHeight="1" hidden="1">
      <c r="A28" s="60" t="s">
        <v>183</v>
      </c>
      <c r="B28" s="80" t="s">
        <v>170</v>
      </c>
      <c r="C28" s="80" t="s">
        <v>173</v>
      </c>
      <c r="D28" s="61">
        <v>9200000000</v>
      </c>
      <c r="E28" s="61"/>
      <c r="F28" s="291">
        <f>'прил.7'!G31</f>
        <v>0</v>
      </c>
      <c r="G28" s="291">
        <f>'прил.7'!H31</f>
        <v>0</v>
      </c>
      <c r="H28" s="291">
        <f>'прил.7'!I31</f>
        <v>0</v>
      </c>
    </row>
    <row r="29" spans="1:8" ht="47.25" hidden="1">
      <c r="A29" s="60" t="s">
        <v>184</v>
      </c>
      <c r="B29" s="80" t="s">
        <v>170</v>
      </c>
      <c r="C29" s="80" t="s">
        <v>173</v>
      </c>
      <c r="D29" s="61">
        <v>9200000190</v>
      </c>
      <c r="E29" s="61"/>
      <c r="F29" s="291">
        <f>'прил.7'!G32</f>
        <v>0</v>
      </c>
      <c r="G29" s="291">
        <f>'прил.7'!H32</f>
        <v>0</v>
      </c>
      <c r="H29" s="291">
        <f>'прил.7'!I32</f>
        <v>0</v>
      </c>
    </row>
    <row r="30" spans="1:8" ht="31.5" hidden="1">
      <c r="A30" s="60" t="s">
        <v>95</v>
      </c>
      <c r="B30" s="80" t="s">
        <v>170</v>
      </c>
      <c r="C30" s="80" t="s">
        <v>173</v>
      </c>
      <c r="D30" s="61">
        <v>9200000190</v>
      </c>
      <c r="E30" s="61">
        <v>123</v>
      </c>
      <c r="F30" s="291">
        <f>'прил.7'!G33</f>
        <v>0</v>
      </c>
      <c r="G30" s="291">
        <f>'прил.7'!H33</f>
        <v>0</v>
      </c>
      <c r="H30" s="291">
        <f>'прил.7'!I33</f>
        <v>0</v>
      </c>
    </row>
    <row r="31" spans="1:8" ht="33" customHeight="1" hidden="1">
      <c r="A31" s="60" t="s">
        <v>302</v>
      </c>
      <c r="B31" s="80" t="s">
        <v>170</v>
      </c>
      <c r="C31" s="80" t="s">
        <v>173</v>
      </c>
      <c r="D31" s="61">
        <v>9200000190</v>
      </c>
      <c r="E31" s="61">
        <v>244</v>
      </c>
      <c r="F31" s="291">
        <f>'прил.7'!G34</f>
        <v>0</v>
      </c>
      <c r="G31" s="291">
        <f>'прил.7'!H34</f>
        <v>0</v>
      </c>
      <c r="H31" s="291">
        <f>'прил.7'!I34</f>
        <v>0</v>
      </c>
    </row>
    <row r="32" spans="1:8" ht="45" customHeight="1" hidden="1">
      <c r="A32" s="60" t="s">
        <v>219</v>
      </c>
      <c r="B32" s="80" t="s">
        <v>170</v>
      </c>
      <c r="C32" s="80" t="s">
        <v>173</v>
      </c>
      <c r="D32" s="61">
        <v>9200000190</v>
      </c>
      <c r="E32" s="61">
        <v>831</v>
      </c>
      <c r="F32" s="291">
        <f>'прил.7'!G35</f>
        <v>0</v>
      </c>
      <c r="G32" s="291">
        <v>0</v>
      </c>
      <c r="H32" s="291">
        <v>0</v>
      </c>
    </row>
    <row r="33" spans="1:8" ht="15.75" hidden="1">
      <c r="A33" s="60" t="s">
        <v>0</v>
      </c>
      <c r="B33" s="80" t="s">
        <v>170</v>
      </c>
      <c r="C33" s="80" t="s">
        <v>173</v>
      </c>
      <c r="D33" s="61">
        <v>9200000190</v>
      </c>
      <c r="E33" s="61">
        <v>853</v>
      </c>
      <c r="F33" s="291">
        <f>'прил.7'!G36</f>
        <v>0</v>
      </c>
      <c r="G33" s="291">
        <f>'прил.7'!H36</f>
        <v>0</v>
      </c>
      <c r="H33" s="291">
        <f>'прил.7'!I36</f>
        <v>0</v>
      </c>
    </row>
    <row r="34" spans="1:8" ht="63">
      <c r="A34" s="74" t="s">
        <v>186</v>
      </c>
      <c r="B34" s="79" t="s">
        <v>170</v>
      </c>
      <c r="C34" s="79" t="s">
        <v>174</v>
      </c>
      <c r="D34" s="64"/>
      <c r="E34" s="64"/>
      <c r="F34" s="291">
        <f>'прил.7'!G37</f>
        <v>6303.700000000001</v>
      </c>
      <c r="G34" s="291">
        <f>'прил.7'!H37</f>
        <v>4939.9</v>
      </c>
      <c r="H34" s="291">
        <f>'прил.7'!I37</f>
        <v>4939.9</v>
      </c>
    </row>
    <row r="35" spans="1:8" ht="19.5" customHeight="1" hidden="1">
      <c r="A35" s="60" t="s">
        <v>179</v>
      </c>
      <c r="B35" s="80" t="s">
        <v>170</v>
      </c>
      <c r="C35" s="80" t="s">
        <v>174</v>
      </c>
      <c r="D35" s="61"/>
      <c r="E35" s="61"/>
      <c r="F35" s="246">
        <f>'прил.7'!G38</f>
        <v>0</v>
      </c>
      <c r="G35" s="246">
        <f>'прил.7'!H38</f>
        <v>0</v>
      </c>
      <c r="H35" s="246">
        <f>'прил.7'!I38</f>
        <v>0</v>
      </c>
    </row>
    <row r="36" spans="1:8" ht="33.75" customHeight="1">
      <c r="A36" s="60" t="s">
        <v>179</v>
      </c>
      <c r="B36" s="80" t="s">
        <v>170</v>
      </c>
      <c r="C36" s="80" t="s">
        <v>174</v>
      </c>
      <c r="D36" s="61">
        <v>9100000000</v>
      </c>
      <c r="E36" s="61"/>
      <c r="F36" s="246">
        <f>'прил.7'!G39</f>
        <v>6303.700000000001</v>
      </c>
      <c r="G36" s="246">
        <f>'прил.7'!H39</f>
        <v>4939.9</v>
      </c>
      <c r="H36" s="246">
        <f>'прил.7'!I39</f>
        <v>4939.9</v>
      </c>
    </row>
    <row r="37" spans="1:8" ht="30" customHeight="1">
      <c r="A37" s="60" t="s">
        <v>363</v>
      </c>
      <c r="B37" s="80" t="s">
        <v>170</v>
      </c>
      <c r="C37" s="80" t="s">
        <v>174</v>
      </c>
      <c r="D37" s="61">
        <v>9100000190</v>
      </c>
      <c r="E37" s="61"/>
      <c r="F37" s="246">
        <f>'прил.7'!G40</f>
        <v>3644.7000000000003</v>
      </c>
      <c r="G37" s="246">
        <f>'прил.7'!H40</f>
        <v>3889.9</v>
      </c>
      <c r="H37" s="246">
        <f>'прил.7'!I40</f>
        <v>3889.9</v>
      </c>
    </row>
    <row r="38" spans="1:8" ht="33" customHeight="1">
      <c r="A38" s="133" t="s">
        <v>574</v>
      </c>
      <c r="B38" s="80" t="s">
        <v>170</v>
      </c>
      <c r="C38" s="80" t="s">
        <v>174</v>
      </c>
      <c r="D38" s="61">
        <v>9100000190</v>
      </c>
      <c r="E38" s="61">
        <v>120</v>
      </c>
      <c r="F38" s="246">
        <f>'прил.7'!G41</f>
        <v>3223.4</v>
      </c>
      <c r="G38" s="246">
        <f>'прил.7'!H41</f>
        <v>3087.9</v>
      </c>
      <c r="H38" s="246">
        <f>'прил.7'!I41</f>
        <v>3087.9</v>
      </c>
    </row>
    <row r="39" spans="1:8" ht="45.75" customHeight="1">
      <c r="A39" s="133" t="s">
        <v>575</v>
      </c>
      <c r="B39" s="80" t="s">
        <v>170</v>
      </c>
      <c r="C39" s="80" t="s">
        <v>174</v>
      </c>
      <c r="D39" s="61">
        <v>9100000190</v>
      </c>
      <c r="E39" s="61">
        <v>240</v>
      </c>
      <c r="F39" s="246">
        <f>'прил.7'!G42</f>
        <v>378.5</v>
      </c>
      <c r="G39" s="246">
        <f>'прил.7'!H42</f>
        <v>800</v>
      </c>
      <c r="H39" s="246">
        <f>'прил.7'!I42</f>
        <v>800</v>
      </c>
    </row>
    <row r="40" spans="1:8" ht="45" customHeight="1">
      <c r="A40" s="133" t="s">
        <v>576</v>
      </c>
      <c r="B40" s="80" t="s">
        <v>170</v>
      </c>
      <c r="C40" s="80" t="s">
        <v>174</v>
      </c>
      <c r="D40" s="61">
        <v>9100000190</v>
      </c>
      <c r="E40" s="61">
        <v>320</v>
      </c>
      <c r="F40" s="246">
        <f>'прил.7'!G43</f>
        <v>42.400000000000006</v>
      </c>
      <c r="G40" s="246">
        <f>'прил.7'!H43</f>
        <v>0</v>
      </c>
      <c r="H40" s="246">
        <f>'прил.7'!I43</f>
        <v>0</v>
      </c>
    </row>
    <row r="41" spans="1:8" ht="21" customHeight="1">
      <c r="A41" s="133" t="s">
        <v>579</v>
      </c>
      <c r="B41" s="80" t="s">
        <v>170</v>
      </c>
      <c r="C41" s="80" t="s">
        <v>174</v>
      </c>
      <c r="D41" s="61">
        <v>9100000190</v>
      </c>
      <c r="E41" s="61">
        <v>850</v>
      </c>
      <c r="F41" s="246">
        <f>'прил.7'!G44</f>
        <v>0.3999999999999999</v>
      </c>
      <c r="G41" s="246">
        <f>'прил.7'!H44</f>
        <v>2</v>
      </c>
      <c r="H41" s="246">
        <f>'прил.7'!I44</f>
        <v>2</v>
      </c>
    </row>
    <row r="42" spans="1:8" ht="78.75">
      <c r="A42" s="60" t="s">
        <v>447</v>
      </c>
      <c r="B42" s="80" t="s">
        <v>170</v>
      </c>
      <c r="C42" s="80" t="s">
        <v>174</v>
      </c>
      <c r="D42" s="61">
        <v>9100070030</v>
      </c>
      <c r="E42" s="95"/>
      <c r="F42" s="246">
        <f>'прил.7'!G45</f>
        <v>1260</v>
      </c>
      <c r="G42" s="246">
        <f>'прил.7'!H45</f>
        <v>1050</v>
      </c>
      <c r="H42" s="246">
        <f>'прил.7'!I45</f>
        <v>1050</v>
      </c>
    </row>
    <row r="43" spans="1:8" ht="48" customHeight="1">
      <c r="A43" s="133" t="s">
        <v>574</v>
      </c>
      <c r="B43" s="80" t="s">
        <v>170</v>
      </c>
      <c r="C43" s="80" t="s">
        <v>174</v>
      </c>
      <c r="D43" s="61">
        <v>9100070030</v>
      </c>
      <c r="E43" s="95">
        <v>120</v>
      </c>
      <c r="F43" s="246">
        <f>'прил.7'!G46</f>
        <v>1260</v>
      </c>
      <c r="G43" s="246">
        <f>'прил.7'!H46</f>
        <v>1050</v>
      </c>
      <c r="H43" s="246">
        <f>'прил.7'!I46</f>
        <v>1050</v>
      </c>
    </row>
    <row r="44" spans="1:8" ht="52.5" customHeight="1">
      <c r="A44" s="60" t="s">
        <v>252</v>
      </c>
      <c r="B44" s="82" t="s">
        <v>170</v>
      </c>
      <c r="C44" s="82" t="s">
        <v>174</v>
      </c>
      <c r="D44" s="83">
        <v>9100090110</v>
      </c>
      <c r="E44" s="83"/>
      <c r="F44" s="246">
        <f>'прил.7'!G47</f>
        <v>459</v>
      </c>
      <c r="G44" s="246">
        <f>'прил.7'!H47</f>
        <v>0</v>
      </c>
      <c r="H44" s="246">
        <f>'прил.7'!I47</f>
        <v>0</v>
      </c>
    </row>
    <row r="45" spans="1:8" ht="15.75">
      <c r="A45" s="60" t="s">
        <v>188</v>
      </c>
      <c r="B45" s="82" t="s">
        <v>170</v>
      </c>
      <c r="C45" s="82" t="s">
        <v>174</v>
      </c>
      <c r="D45" s="83">
        <v>9100090110</v>
      </c>
      <c r="E45" s="83">
        <v>540</v>
      </c>
      <c r="F45" s="246">
        <f>'прил.7'!G48</f>
        <v>459</v>
      </c>
      <c r="G45" s="246">
        <f>'прил.7'!H48</f>
        <v>0</v>
      </c>
      <c r="H45" s="246">
        <f>'прил.7'!I48</f>
        <v>0</v>
      </c>
    </row>
    <row r="46" spans="1:8" ht="141.75">
      <c r="A46" s="198" t="s">
        <v>367</v>
      </c>
      <c r="B46" s="80" t="s">
        <v>170</v>
      </c>
      <c r="C46" s="80" t="s">
        <v>174</v>
      </c>
      <c r="D46" s="61">
        <v>9100090120</v>
      </c>
      <c r="E46" s="61"/>
      <c r="F46" s="246">
        <f>'прил.7'!G49</f>
        <v>136.7</v>
      </c>
      <c r="G46" s="246">
        <f>'прил.7'!H49</f>
        <v>0</v>
      </c>
      <c r="H46" s="246">
        <f>'прил.7'!I49</f>
        <v>0</v>
      </c>
    </row>
    <row r="47" spans="1:8" ht="15.75">
      <c r="A47" s="60" t="s">
        <v>188</v>
      </c>
      <c r="B47" s="80" t="s">
        <v>170</v>
      </c>
      <c r="C47" s="80" t="s">
        <v>174</v>
      </c>
      <c r="D47" s="61">
        <v>9100090120</v>
      </c>
      <c r="E47" s="61">
        <v>540</v>
      </c>
      <c r="F47" s="246">
        <f>'прил.7'!G50</f>
        <v>136.7</v>
      </c>
      <c r="G47" s="246">
        <f>'прил.7'!H50</f>
        <v>0</v>
      </c>
      <c r="H47" s="246">
        <f>'прил.7'!I50</f>
        <v>0</v>
      </c>
    </row>
    <row r="48" spans="1:8" ht="130.5" customHeight="1">
      <c r="A48" s="198" t="s">
        <v>365</v>
      </c>
      <c r="B48" s="80" t="s">
        <v>170</v>
      </c>
      <c r="C48" s="80" t="s">
        <v>174</v>
      </c>
      <c r="D48" s="61">
        <v>9100090150</v>
      </c>
      <c r="E48" s="61"/>
      <c r="F48" s="246">
        <f>'прил.7'!G51</f>
        <v>79.5</v>
      </c>
      <c r="G48" s="246">
        <f>'прил.7'!H51</f>
        <v>0</v>
      </c>
      <c r="H48" s="246">
        <f>'прил.7'!I51</f>
        <v>0</v>
      </c>
    </row>
    <row r="49" spans="1:8" ht="15.75">
      <c r="A49" s="60" t="s">
        <v>188</v>
      </c>
      <c r="B49" s="80" t="s">
        <v>170</v>
      </c>
      <c r="C49" s="80" t="s">
        <v>174</v>
      </c>
      <c r="D49" s="61">
        <v>9100090150</v>
      </c>
      <c r="E49" s="61">
        <v>540</v>
      </c>
      <c r="F49" s="246">
        <f>'прил.7'!G52</f>
        <v>79.5</v>
      </c>
      <c r="G49" s="246">
        <f>'прил.7'!H52</f>
        <v>0</v>
      </c>
      <c r="H49" s="246">
        <f>'прил.7'!I52</f>
        <v>0</v>
      </c>
    </row>
    <row r="50" spans="1:8" ht="94.5" customHeight="1">
      <c r="A50" s="62" t="s">
        <v>366</v>
      </c>
      <c r="B50" s="80" t="s">
        <v>170</v>
      </c>
      <c r="C50" s="80" t="s">
        <v>174</v>
      </c>
      <c r="D50" s="61">
        <v>9100090160</v>
      </c>
      <c r="E50" s="61"/>
      <c r="F50" s="246">
        <f>'прил.7'!G53</f>
        <v>122.8</v>
      </c>
      <c r="G50" s="246">
        <f>'прил.7'!H53</f>
        <v>0</v>
      </c>
      <c r="H50" s="246">
        <f>'прил.7'!I53</f>
        <v>0</v>
      </c>
    </row>
    <row r="51" spans="1:8" ht="18.75" customHeight="1">
      <c r="A51" s="60" t="s">
        <v>188</v>
      </c>
      <c r="B51" s="80" t="s">
        <v>170</v>
      </c>
      <c r="C51" s="80" t="s">
        <v>174</v>
      </c>
      <c r="D51" s="61">
        <v>9100090160</v>
      </c>
      <c r="E51" s="61">
        <v>540</v>
      </c>
      <c r="F51" s="246">
        <f>'прил.7'!G54</f>
        <v>122.8</v>
      </c>
      <c r="G51" s="246">
        <f>'прил.7'!H54</f>
        <v>0</v>
      </c>
      <c r="H51" s="246">
        <f>'прил.7'!I54</f>
        <v>0</v>
      </c>
    </row>
    <row r="52" spans="1:8" ht="50.25" customHeight="1">
      <c r="A52" s="199" t="s">
        <v>534</v>
      </c>
      <c r="B52" s="82" t="s">
        <v>170</v>
      </c>
      <c r="C52" s="82" t="s">
        <v>174</v>
      </c>
      <c r="D52" s="83">
        <v>9100090210</v>
      </c>
      <c r="E52" s="83"/>
      <c r="F52" s="246">
        <f>'прил.7'!G55</f>
        <v>444.3</v>
      </c>
      <c r="G52" s="246">
        <f>'прил.7'!H55</f>
        <v>0</v>
      </c>
      <c r="H52" s="246">
        <f>'прил.7'!I55</f>
        <v>0</v>
      </c>
    </row>
    <row r="53" spans="1:8" ht="15.75">
      <c r="A53" s="60" t="s">
        <v>188</v>
      </c>
      <c r="B53" s="82" t="s">
        <v>170</v>
      </c>
      <c r="C53" s="82" t="s">
        <v>174</v>
      </c>
      <c r="D53" s="83">
        <v>9100090210</v>
      </c>
      <c r="E53" s="83">
        <v>540</v>
      </c>
      <c r="F53" s="246">
        <f>'прил.7'!G56</f>
        <v>444.3</v>
      </c>
      <c r="G53" s="246">
        <f>'прил.7'!H56</f>
        <v>0</v>
      </c>
      <c r="H53" s="246">
        <f>'прил.7'!I56</f>
        <v>0</v>
      </c>
    </row>
    <row r="54" spans="1:8" ht="47.25">
      <c r="A54" s="60" t="s">
        <v>253</v>
      </c>
      <c r="B54" s="82" t="s">
        <v>170</v>
      </c>
      <c r="C54" s="82" t="s">
        <v>174</v>
      </c>
      <c r="D54" s="83">
        <v>9100090220</v>
      </c>
      <c r="E54" s="83"/>
      <c r="F54" s="246">
        <f>'прил.7'!G57</f>
        <v>156.7</v>
      </c>
      <c r="G54" s="246">
        <f>'прил.7'!H57</f>
        <v>0</v>
      </c>
      <c r="H54" s="246">
        <f>'прил.7'!I57</f>
        <v>0</v>
      </c>
    </row>
    <row r="55" spans="1:8" ht="15.75">
      <c r="A55" s="60" t="s">
        <v>188</v>
      </c>
      <c r="B55" s="82" t="s">
        <v>170</v>
      </c>
      <c r="C55" s="82" t="s">
        <v>174</v>
      </c>
      <c r="D55" s="83">
        <v>9100090220</v>
      </c>
      <c r="E55" s="83">
        <v>540</v>
      </c>
      <c r="F55" s="246">
        <f>'прил.7'!G58</f>
        <v>156.7</v>
      </c>
      <c r="G55" s="246">
        <f>'прил.7'!H58</f>
        <v>0</v>
      </c>
      <c r="H55" s="246">
        <f>'прил.7'!I58</f>
        <v>0</v>
      </c>
    </row>
    <row r="56" spans="1:8" ht="63" customHeight="1">
      <c r="A56" s="74" t="s">
        <v>360</v>
      </c>
      <c r="B56" s="79" t="s">
        <v>170</v>
      </c>
      <c r="C56" s="79" t="s">
        <v>107</v>
      </c>
      <c r="D56" s="64"/>
      <c r="E56" s="64"/>
      <c r="F56" s="291">
        <f>'прил.7'!G59</f>
        <v>79.9</v>
      </c>
      <c r="G56" s="291">
        <f>'прил.7'!H59</f>
        <v>0</v>
      </c>
      <c r="H56" s="291">
        <f>'прил.7'!I59</f>
        <v>0</v>
      </c>
    </row>
    <row r="57" spans="1:8" ht="48.75" customHeight="1">
      <c r="A57" s="60" t="s">
        <v>368</v>
      </c>
      <c r="B57" s="80" t="s">
        <v>170</v>
      </c>
      <c r="C57" s="80" t="s">
        <v>107</v>
      </c>
      <c r="D57" s="61">
        <v>9100090130</v>
      </c>
      <c r="E57" s="61"/>
      <c r="F57" s="246">
        <f>'прил.7'!G60</f>
        <v>79.9</v>
      </c>
      <c r="G57" s="246">
        <f>'прил.7'!H60</f>
        <v>0</v>
      </c>
      <c r="H57" s="246">
        <f>'прил.7'!I60</f>
        <v>0</v>
      </c>
    </row>
    <row r="58" spans="1:8" ht="20.25" customHeight="1">
      <c r="A58" s="60" t="s">
        <v>188</v>
      </c>
      <c r="B58" s="80" t="s">
        <v>170</v>
      </c>
      <c r="C58" s="80" t="s">
        <v>107</v>
      </c>
      <c r="D58" s="61">
        <v>9100090130</v>
      </c>
      <c r="E58" s="61">
        <v>540</v>
      </c>
      <c r="F58" s="246">
        <f>'прил.7'!G61</f>
        <v>79.9</v>
      </c>
      <c r="G58" s="246">
        <f>'прил.7'!H61</f>
        <v>0</v>
      </c>
      <c r="H58" s="246">
        <f>'прил.7'!I61</f>
        <v>0</v>
      </c>
    </row>
    <row r="59" spans="1:8" ht="31.5" hidden="1">
      <c r="A59" s="74" t="s">
        <v>209</v>
      </c>
      <c r="B59" s="80" t="s">
        <v>170</v>
      </c>
      <c r="C59" s="80" t="s">
        <v>110</v>
      </c>
      <c r="D59" s="61"/>
      <c r="E59" s="61"/>
      <c r="F59" s="246">
        <f>'прил.7'!G62</f>
        <v>0</v>
      </c>
      <c r="G59" s="246">
        <f>'прил.7'!H62</f>
        <v>0</v>
      </c>
      <c r="H59" s="246">
        <f>'прил.7'!I62</f>
        <v>0</v>
      </c>
    </row>
    <row r="60" spans="1:8" ht="20.25" customHeight="1" hidden="1">
      <c r="A60" s="60" t="s">
        <v>210</v>
      </c>
      <c r="B60" s="80" t="s">
        <v>170</v>
      </c>
      <c r="C60" s="80" t="s">
        <v>110</v>
      </c>
      <c r="D60" s="61">
        <v>9100000000</v>
      </c>
      <c r="E60" s="61"/>
      <c r="F60" s="246">
        <f>'прил.7'!G63</f>
        <v>0</v>
      </c>
      <c r="G60" s="246">
        <f>'прил.7'!H63</f>
        <v>0</v>
      </c>
      <c r="H60" s="246">
        <f>'прил.7'!I63</f>
        <v>0</v>
      </c>
    </row>
    <row r="61" spans="1:8" ht="47.25" hidden="1">
      <c r="A61" s="60" t="s">
        <v>185</v>
      </c>
      <c r="B61" s="80" t="s">
        <v>170</v>
      </c>
      <c r="C61" s="80" t="s">
        <v>110</v>
      </c>
      <c r="D61" s="61">
        <v>9100023080</v>
      </c>
      <c r="E61" s="61">
        <v>244</v>
      </c>
      <c r="F61" s="246">
        <f>'прил.7'!G64</f>
        <v>0</v>
      </c>
      <c r="G61" s="246">
        <f>'прил.7'!H64</f>
        <v>0</v>
      </c>
      <c r="H61" s="246">
        <f>'прил.7'!I64</f>
        <v>0</v>
      </c>
    </row>
    <row r="62" spans="1:8" ht="15.75">
      <c r="A62" s="74" t="s">
        <v>148</v>
      </c>
      <c r="B62" s="79" t="s">
        <v>170</v>
      </c>
      <c r="C62" s="79">
        <v>11</v>
      </c>
      <c r="D62" s="64"/>
      <c r="E62" s="64"/>
      <c r="F62" s="246">
        <f>'прил.7'!G65</f>
        <v>0</v>
      </c>
      <c r="G62" s="246">
        <f>'прил.7'!H65</f>
        <v>300</v>
      </c>
      <c r="H62" s="246">
        <f>'прил.7'!I65</f>
        <v>300</v>
      </c>
    </row>
    <row r="63" spans="1:8" ht="15.75" hidden="1">
      <c r="A63" s="60" t="s">
        <v>148</v>
      </c>
      <c r="B63" s="80" t="s">
        <v>170</v>
      </c>
      <c r="C63" s="80">
        <v>11</v>
      </c>
      <c r="D63" s="61"/>
      <c r="E63" s="61"/>
      <c r="F63" s="246">
        <f>'прил.7'!G66</f>
        <v>0</v>
      </c>
      <c r="G63" s="246">
        <f>'прил.7'!H66</f>
        <v>300</v>
      </c>
      <c r="H63" s="246">
        <f>'прил.7'!I66</f>
        <v>300</v>
      </c>
    </row>
    <row r="64" spans="1:8" ht="31.5">
      <c r="A64" s="60" t="s">
        <v>189</v>
      </c>
      <c r="B64" s="80" t="s">
        <v>170</v>
      </c>
      <c r="C64" s="80">
        <v>11</v>
      </c>
      <c r="D64" s="61">
        <v>7050000000</v>
      </c>
      <c r="E64" s="61"/>
      <c r="F64" s="246">
        <f>'прил.7'!G67</f>
        <v>0</v>
      </c>
      <c r="G64" s="246">
        <f>'прил.7'!H67</f>
        <v>300</v>
      </c>
      <c r="H64" s="246">
        <f>'прил.7'!I67</f>
        <v>300</v>
      </c>
    </row>
    <row r="65" spans="1:8" ht="15.75">
      <c r="A65" s="60" t="s">
        <v>190</v>
      </c>
      <c r="B65" s="80" t="s">
        <v>170</v>
      </c>
      <c r="C65" s="80">
        <v>11</v>
      </c>
      <c r="D65" s="61">
        <v>7050000000</v>
      </c>
      <c r="E65" s="61">
        <v>870</v>
      </c>
      <c r="F65" s="246">
        <f>'прил.7'!G68</f>
        <v>0</v>
      </c>
      <c r="G65" s="246">
        <f>'прил.7'!H68</f>
        <v>300</v>
      </c>
      <c r="H65" s="246">
        <f>'прил.7'!I68</f>
        <v>300</v>
      </c>
    </row>
    <row r="66" spans="1:8" ht="16.5" customHeight="1">
      <c r="A66" s="74" t="s">
        <v>149</v>
      </c>
      <c r="B66" s="79" t="s">
        <v>170</v>
      </c>
      <c r="C66" s="79">
        <v>13</v>
      </c>
      <c r="D66" s="64"/>
      <c r="E66" s="64"/>
      <c r="F66" s="291">
        <f>'прил.7'!G69</f>
        <v>6303.099999999999</v>
      </c>
      <c r="G66" s="291">
        <f>'прил.7'!H69</f>
        <v>195</v>
      </c>
      <c r="H66" s="291">
        <f>'прил.7'!I69</f>
        <v>5195</v>
      </c>
    </row>
    <row r="67" spans="1:8" ht="31.5" hidden="1">
      <c r="A67" s="60" t="s">
        <v>191</v>
      </c>
      <c r="B67" s="80" t="s">
        <v>170</v>
      </c>
      <c r="C67" s="80">
        <v>13</v>
      </c>
      <c r="D67" s="61"/>
      <c r="E67" s="61"/>
      <c r="F67" s="246">
        <f>'прил.7'!G70</f>
        <v>3600.8999999999996</v>
      </c>
      <c r="G67" s="246">
        <f>'прил.7'!H70</f>
        <v>93</v>
      </c>
      <c r="H67" s="246">
        <f>'прил.7'!I70</f>
        <v>5093</v>
      </c>
    </row>
    <row r="68" spans="1:8" ht="33.75" customHeight="1">
      <c r="A68" s="60" t="s">
        <v>363</v>
      </c>
      <c r="B68" s="80" t="s">
        <v>170</v>
      </c>
      <c r="C68" s="80">
        <v>13</v>
      </c>
      <c r="D68" s="61">
        <v>9100000190</v>
      </c>
      <c r="E68" s="61"/>
      <c r="F68" s="246">
        <f>'прил.7'!G71</f>
        <v>3600.8999999999996</v>
      </c>
      <c r="G68" s="246">
        <f>'прил.7'!H71</f>
        <v>93</v>
      </c>
      <c r="H68" s="246">
        <f>'прил.7'!I71</f>
        <v>5093</v>
      </c>
    </row>
    <row r="69" spans="1:8" ht="51.75" customHeight="1">
      <c r="A69" s="133" t="s">
        <v>575</v>
      </c>
      <c r="B69" s="80" t="s">
        <v>170</v>
      </c>
      <c r="C69" s="80" t="s">
        <v>35</v>
      </c>
      <c r="D69" s="61">
        <v>9100000190</v>
      </c>
      <c r="E69" s="61">
        <v>240</v>
      </c>
      <c r="F69" s="246">
        <f>'прил.7'!G72</f>
        <v>2168.6</v>
      </c>
      <c r="G69" s="246">
        <f>'прил.7'!H72</f>
        <v>0</v>
      </c>
      <c r="H69" s="246">
        <f>'прил.7'!I72</f>
        <v>5000</v>
      </c>
    </row>
    <row r="70" spans="1:8" ht="18.75" customHeight="1">
      <c r="A70" s="133" t="s">
        <v>581</v>
      </c>
      <c r="B70" s="80" t="s">
        <v>170</v>
      </c>
      <c r="C70" s="80">
        <v>13</v>
      </c>
      <c r="D70" s="61">
        <v>9100000190</v>
      </c>
      <c r="E70" s="61">
        <v>830</v>
      </c>
      <c r="F70" s="246">
        <f>'прил.7'!G73</f>
        <v>10</v>
      </c>
      <c r="G70" s="246">
        <f>'прил.7'!H73</f>
        <v>0</v>
      </c>
      <c r="H70" s="246">
        <f>'прил.7'!I73</f>
        <v>0</v>
      </c>
    </row>
    <row r="71" spans="1:8" ht="17.25" customHeight="1">
      <c r="A71" s="305" t="s">
        <v>579</v>
      </c>
      <c r="B71" s="80" t="s">
        <v>170</v>
      </c>
      <c r="C71" s="80" t="s">
        <v>35</v>
      </c>
      <c r="D71" s="61">
        <v>9100000190</v>
      </c>
      <c r="E71" s="61">
        <v>850</v>
      </c>
      <c r="F71" s="246">
        <f>'прил.7'!G74</f>
        <v>1422.3</v>
      </c>
      <c r="G71" s="246">
        <f>'прил.7'!H74</f>
        <v>93</v>
      </c>
      <c r="H71" s="246">
        <f>'прил.7'!I74</f>
        <v>93</v>
      </c>
    </row>
    <row r="72" spans="1:8" ht="47.25">
      <c r="A72" s="39" t="s">
        <v>382</v>
      </c>
      <c r="B72" s="80" t="s">
        <v>170</v>
      </c>
      <c r="C72" s="80" t="s">
        <v>35</v>
      </c>
      <c r="D72" s="61">
        <v>9100020530</v>
      </c>
      <c r="E72" s="61"/>
      <c r="F72" s="246">
        <f>'прил.7'!G75</f>
        <v>46</v>
      </c>
      <c r="G72" s="246">
        <f>'прил.7'!H75</f>
        <v>100</v>
      </c>
      <c r="H72" s="246">
        <f>'прил.7'!I75</f>
        <v>100</v>
      </c>
    </row>
    <row r="73" spans="1:8" ht="51.75" customHeight="1">
      <c r="A73" s="133" t="s">
        <v>575</v>
      </c>
      <c r="B73" s="80" t="s">
        <v>170</v>
      </c>
      <c r="C73" s="80" t="s">
        <v>35</v>
      </c>
      <c r="D73" s="61">
        <v>9100020530</v>
      </c>
      <c r="E73" s="61">
        <v>240</v>
      </c>
      <c r="F73" s="246">
        <f>'прил.7'!G76</f>
        <v>45.2</v>
      </c>
      <c r="G73" s="246">
        <f>'прил.7'!H76</f>
        <v>100</v>
      </c>
      <c r="H73" s="246">
        <f>'прил.7'!I76</f>
        <v>100</v>
      </c>
    </row>
    <row r="74" spans="1:8" ht="15.75">
      <c r="A74" s="305" t="s">
        <v>579</v>
      </c>
      <c r="B74" s="80" t="s">
        <v>170</v>
      </c>
      <c r="C74" s="80" t="s">
        <v>35</v>
      </c>
      <c r="D74" s="61">
        <v>9100020530</v>
      </c>
      <c r="E74" s="61">
        <v>850</v>
      </c>
      <c r="F74" s="246">
        <f>'прил.7'!G77</f>
        <v>0.8</v>
      </c>
      <c r="G74" s="246">
        <f>'прил.7'!H77</f>
        <v>0</v>
      </c>
      <c r="H74" s="246">
        <f>'прил.7'!I77</f>
        <v>0</v>
      </c>
    </row>
    <row r="75" spans="1:8" ht="31.5">
      <c r="A75" s="133" t="s">
        <v>390</v>
      </c>
      <c r="B75" s="80" t="s">
        <v>170</v>
      </c>
      <c r="C75" s="80" t="s">
        <v>35</v>
      </c>
      <c r="D75" s="61">
        <v>9100072310</v>
      </c>
      <c r="E75" s="61"/>
      <c r="F75" s="246">
        <f>'прил.7'!G80</f>
        <v>2</v>
      </c>
      <c r="G75" s="246">
        <f>'прил.7'!H80</f>
        <v>2</v>
      </c>
      <c r="H75" s="246">
        <f>'прил.7'!I80</f>
        <v>2</v>
      </c>
    </row>
    <row r="76" spans="1:8" ht="45.75" customHeight="1">
      <c r="A76" s="133" t="s">
        <v>575</v>
      </c>
      <c r="B76" s="80" t="s">
        <v>170</v>
      </c>
      <c r="C76" s="80" t="s">
        <v>35</v>
      </c>
      <c r="D76" s="61">
        <v>9100072310</v>
      </c>
      <c r="E76" s="61">
        <v>240</v>
      </c>
      <c r="F76" s="246">
        <f>'прил.7'!G81</f>
        <v>2</v>
      </c>
      <c r="G76" s="246">
        <f>'прил.7'!H81</f>
        <v>2</v>
      </c>
      <c r="H76" s="246">
        <f>'прил.7'!I81</f>
        <v>2</v>
      </c>
    </row>
    <row r="77" spans="1:8" ht="94.5">
      <c r="A77" s="84" t="s">
        <v>371</v>
      </c>
      <c r="B77" s="82" t="s">
        <v>170</v>
      </c>
      <c r="C77" s="82" t="s">
        <v>35</v>
      </c>
      <c r="D77" s="83">
        <v>9100090140</v>
      </c>
      <c r="E77" s="83"/>
      <c r="F77" s="246">
        <f>'прил.7'!G82</f>
        <v>630.5</v>
      </c>
      <c r="G77" s="246">
        <f>'прил.7'!H82</f>
        <v>0</v>
      </c>
      <c r="H77" s="246">
        <f>'прил.7'!I82</f>
        <v>0</v>
      </c>
    </row>
    <row r="78" spans="1:8" ht="15.75">
      <c r="A78" s="60" t="s">
        <v>188</v>
      </c>
      <c r="B78" s="82" t="s">
        <v>170</v>
      </c>
      <c r="C78" s="82" t="s">
        <v>35</v>
      </c>
      <c r="D78" s="83">
        <v>9100090140</v>
      </c>
      <c r="E78" s="83">
        <v>540</v>
      </c>
      <c r="F78" s="246">
        <f>'прил.7'!G83</f>
        <v>630.5</v>
      </c>
      <c r="G78" s="246">
        <f>'прил.7'!H83</f>
        <v>0</v>
      </c>
      <c r="H78" s="246">
        <f>'прил.7'!I83</f>
        <v>0</v>
      </c>
    </row>
    <row r="79" spans="1:8" ht="126" customHeight="1">
      <c r="A79" s="94" t="s">
        <v>364</v>
      </c>
      <c r="B79" s="80" t="s">
        <v>170</v>
      </c>
      <c r="C79" s="80" t="s">
        <v>35</v>
      </c>
      <c r="D79" s="61">
        <v>9100090190</v>
      </c>
      <c r="E79" s="61"/>
      <c r="F79" s="246">
        <f>'прил.7'!G84</f>
        <v>342.9</v>
      </c>
      <c r="G79" s="246">
        <f>'прил.7'!H84</f>
        <v>0</v>
      </c>
      <c r="H79" s="246">
        <f>'прил.7'!I84</f>
        <v>0</v>
      </c>
    </row>
    <row r="80" spans="1:8" ht="15.75">
      <c r="A80" s="60" t="s">
        <v>188</v>
      </c>
      <c r="B80" s="82" t="s">
        <v>170</v>
      </c>
      <c r="C80" s="82" t="s">
        <v>35</v>
      </c>
      <c r="D80" s="83">
        <v>9100090190</v>
      </c>
      <c r="E80" s="83">
        <v>540</v>
      </c>
      <c r="F80" s="246">
        <f>'прил.7'!G85</f>
        <v>342.9</v>
      </c>
      <c r="G80" s="246">
        <f>'прил.7'!H85</f>
        <v>0</v>
      </c>
      <c r="H80" s="246">
        <f>'прил.7'!I85</f>
        <v>0</v>
      </c>
    </row>
    <row r="81" spans="1:8" ht="31.5">
      <c r="A81" s="84" t="s">
        <v>372</v>
      </c>
      <c r="B81" s="82" t="s">
        <v>170</v>
      </c>
      <c r="C81" s="82" t="s">
        <v>35</v>
      </c>
      <c r="D81" s="83">
        <v>9100090200</v>
      </c>
      <c r="E81" s="83"/>
      <c r="F81" s="246">
        <f>'прил.7'!G86</f>
        <v>429.29999999999995</v>
      </c>
      <c r="G81" s="246">
        <f>'прил.7'!H86</f>
        <v>0</v>
      </c>
      <c r="H81" s="246">
        <f>'прил.7'!I86</f>
        <v>0</v>
      </c>
    </row>
    <row r="82" spans="1:8" ht="15.75">
      <c r="A82" s="60" t="s">
        <v>188</v>
      </c>
      <c r="B82" s="82" t="s">
        <v>170</v>
      </c>
      <c r="C82" s="82" t="s">
        <v>35</v>
      </c>
      <c r="D82" s="83">
        <v>9100090200</v>
      </c>
      <c r="E82" s="83">
        <v>540</v>
      </c>
      <c r="F82" s="246">
        <f>'прил.7'!G87</f>
        <v>429.29999999999995</v>
      </c>
      <c r="G82" s="246">
        <f>'прил.7'!H87</f>
        <v>0</v>
      </c>
      <c r="H82" s="246">
        <f>'прил.7'!I87</f>
        <v>0</v>
      </c>
    </row>
    <row r="83" spans="1:8" ht="77.25" customHeight="1">
      <c r="A83" s="84" t="s">
        <v>369</v>
      </c>
      <c r="B83" s="82" t="s">
        <v>170</v>
      </c>
      <c r="C83" s="82" t="s">
        <v>35</v>
      </c>
      <c r="D83" s="83">
        <v>9100090230</v>
      </c>
      <c r="E83" s="83"/>
      <c r="F83" s="246">
        <f>'прил.7'!G88</f>
        <v>1139.8</v>
      </c>
      <c r="G83" s="246">
        <f>'прил.7'!H88</f>
        <v>0</v>
      </c>
      <c r="H83" s="246">
        <f>'прил.7'!I88</f>
        <v>0</v>
      </c>
    </row>
    <row r="84" spans="1:8" ht="15.75">
      <c r="A84" s="60" t="s">
        <v>188</v>
      </c>
      <c r="B84" s="82" t="s">
        <v>170</v>
      </c>
      <c r="C84" s="82" t="s">
        <v>35</v>
      </c>
      <c r="D84" s="83">
        <v>9100090230</v>
      </c>
      <c r="E84" s="83">
        <v>540</v>
      </c>
      <c r="F84" s="246">
        <f>'прил.7'!G89</f>
        <v>1139.8</v>
      </c>
      <c r="G84" s="246">
        <f>'прил.7'!H89</f>
        <v>0</v>
      </c>
      <c r="H84" s="246">
        <f>'прил.7'!I89</f>
        <v>0</v>
      </c>
    </row>
    <row r="85" spans="1:8" ht="78.75" customHeight="1">
      <c r="A85" s="84" t="s">
        <v>299</v>
      </c>
      <c r="B85" s="82" t="s">
        <v>170</v>
      </c>
      <c r="C85" s="82" t="s">
        <v>35</v>
      </c>
      <c r="D85" s="83">
        <v>9100090260</v>
      </c>
      <c r="E85" s="83"/>
      <c r="F85" s="246">
        <f>'прил.7'!G90</f>
        <v>0.4</v>
      </c>
      <c r="G85" s="246">
        <f>'прил.7'!H90</f>
        <v>0</v>
      </c>
      <c r="H85" s="246">
        <f>'прил.7'!I90</f>
        <v>0</v>
      </c>
    </row>
    <row r="86" spans="1:8" ht="15.75">
      <c r="A86" s="60" t="s">
        <v>188</v>
      </c>
      <c r="B86" s="82" t="s">
        <v>170</v>
      </c>
      <c r="C86" s="82" t="s">
        <v>35</v>
      </c>
      <c r="D86" s="83">
        <v>9100090260</v>
      </c>
      <c r="E86" s="83">
        <v>540</v>
      </c>
      <c r="F86" s="246">
        <f>'прил.7'!G91</f>
        <v>0.4</v>
      </c>
      <c r="G86" s="246">
        <f>'прил.7'!H91</f>
        <v>0</v>
      </c>
      <c r="H86" s="246">
        <f>'прил.7'!I91</f>
        <v>0</v>
      </c>
    </row>
    <row r="87" spans="1:8" ht="78.75" customHeight="1">
      <c r="A87" s="60" t="s">
        <v>426</v>
      </c>
      <c r="B87" s="82" t="s">
        <v>170</v>
      </c>
      <c r="C87" s="82" t="s">
        <v>35</v>
      </c>
      <c r="D87" s="83">
        <v>9100090280</v>
      </c>
      <c r="E87" s="83"/>
      <c r="F87" s="246">
        <f>'прил.7'!G92</f>
        <v>111.3</v>
      </c>
      <c r="G87" s="246">
        <f>'прил.7'!H92</f>
        <v>0</v>
      </c>
      <c r="H87" s="246">
        <f>'прил.7'!I92</f>
        <v>0</v>
      </c>
    </row>
    <row r="88" spans="1:8" ht="15.75">
      <c r="A88" s="60" t="s">
        <v>188</v>
      </c>
      <c r="B88" s="82" t="s">
        <v>170</v>
      </c>
      <c r="C88" s="82" t="s">
        <v>35</v>
      </c>
      <c r="D88" s="83">
        <v>9100090280</v>
      </c>
      <c r="E88" s="83">
        <v>540</v>
      </c>
      <c r="F88" s="246">
        <f>'прил.7'!G93</f>
        <v>111.3</v>
      </c>
      <c r="G88" s="246">
        <f>'прил.7'!H93</f>
        <v>0</v>
      </c>
      <c r="H88" s="246">
        <f>'прил.7'!I93</f>
        <v>0</v>
      </c>
    </row>
    <row r="89" spans="1:8" ht="17.25" customHeight="1">
      <c r="A89" s="78" t="s">
        <v>192</v>
      </c>
      <c r="B89" s="85" t="s">
        <v>172</v>
      </c>
      <c r="C89" s="85" t="s">
        <v>171</v>
      </c>
      <c r="D89" s="86"/>
      <c r="E89" s="86"/>
      <c r="F89" s="246">
        <f>'прил.7'!G94</f>
        <v>261.2</v>
      </c>
      <c r="G89" s="246">
        <f>'прил.7'!H94</f>
        <v>263.9</v>
      </c>
      <c r="H89" s="246">
        <f>'прил.7'!I94</f>
        <v>274.2</v>
      </c>
    </row>
    <row r="90" spans="1:8" ht="34.5" customHeight="1">
      <c r="A90" s="60" t="s">
        <v>151</v>
      </c>
      <c r="B90" s="80" t="s">
        <v>172</v>
      </c>
      <c r="C90" s="80" t="s">
        <v>173</v>
      </c>
      <c r="D90" s="61"/>
      <c r="E90" s="61"/>
      <c r="F90" s="246">
        <f>'прил.7'!G95</f>
        <v>261.2</v>
      </c>
      <c r="G90" s="246">
        <f>'прил.7'!H95</f>
        <v>263.9</v>
      </c>
      <c r="H90" s="246">
        <f>'прил.7'!I95</f>
        <v>274.2</v>
      </c>
    </row>
    <row r="91" spans="1:8" ht="35.25" customHeight="1" hidden="1">
      <c r="A91" s="60" t="s">
        <v>179</v>
      </c>
      <c r="B91" s="80" t="s">
        <v>172</v>
      </c>
      <c r="C91" s="80" t="s">
        <v>173</v>
      </c>
      <c r="D91" s="61">
        <v>9100000000</v>
      </c>
      <c r="E91" s="61"/>
      <c r="F91" s="246">
        <f>'прил.7'!G96</f>
        <v>261.2</v>
      </c>
      <c r="G91" s="246">
        <f>'прил.7'!H96</f>
        <v>263.9</v>
      </c>
      <c r="H91" s="246">
        <f>'прил.7'!I96</f>
        <v>274.2</v>
      </c>
    </row>
    <row r="92" spans="1:8" ht="47.25" hidden="1">
      <c r="A92" s="60" t="s">
        <v>187</v>
      </c>
      <c r="B92" s="80" t="s">
        <v>172</v>
      </c>
      <c r="C92" s="80" t="s">
        <v>173</v>
      </c>
      <c r="D92" s="61">
        <v>9100000000</v>
      </c>
      <c r="E92" s="61"/>
      <c r="F92" s="246">
        <f>'прил.7'!G97</f>
        <v>261.2</v>
      </c>
      <c r="G92" s="246">
        <f>'прил.7'!H97</f>
        <v>263.9</v>
      </c>
      <c r="H92" s="246">
        <f>'прил.7'!I97</f>
        <v>274.2</v>
      </c>
    </row>
    <row r="93" spans="1:8" ht="47.25">
      <c r="A93" s="60" t="s">
        <v>193</v>
      </c>
      <c r="B93" s="80" t="s">
        <v>172</v>
      </c>
      <c r="C93" s="80" t="s">
        <v>173</v>
      </c>
      <c r="D93" s="61">
        <v>9100051180</v>
      </c>
      <c r="E93" s="61"/>
      <c r="F93" s="246">
        <f>'прил.7'!G98</f>
        <v>261.2</v>
      </c>
      <c r="G93" s="246">
        <f>'прил.7'!H98</f>
        <v>263.9</v>
      </c>
      <c r="H93" s="246">
        <f>'прил.7'!I98</f>
        <v>274.2</v>
      </c>
    </row>
    <row r="94" spans="1:8" ht="50.25" customHeight="1">
      <c r="A94" s="133" t="s">
        <v>574</v>
      </c>
      <c r="B94" s="80" t="s">
        <v>172</v>
      </c>
      <c r="C94" s="80" t="s">
        <v>173</v>
      </c>
      <c r="D94" s="61">
        <v>9100051180</v>
      </c>
      <c r="E94" s="61">
        <v>120</v>
      </c>
      <c r="F94" s="246">
        <f>'прил.7'!G99</f>
        <v>258.9</v>
      </c>
      <c r="G94" s="246">
        <f>'прил.7'!H99</f>
        <v>263.9</v>
      </c>
      <c r="H94" s="246">
        <f>'прил.7'!I99</f>
        <v>274.2</v>
      </c>
    </row>
    <row r="95" spans="1:8" ht="63" hidden="1">
      <c r="A95" s="60" t="s">
        <v>254</v>
      </c>
      <c r="B95" s="80" t="s">
        <v>172</v>
      </c>
      <c r="C95" s="80" t="s">
        <v>173</v>
      </c>
      <c r="D95" s="61">
        <v>9100051180</v>
      </c>
      <c r="E95" s="61">
        <v>122</v>
      </c>
      <c r="F95" s="246">
        <f>'прил.7'!G100</f>
        <v>0</v>
      </c>
      <c r="G95" s="246">
        <f>'прил.7'!H100</f>
        <v>0</v>
      </c>
      <c r="H95" s="246">
        <f>'прил.7'!I100</f>
        <v>0</v>
      </c>
    </row>
    <row r="96" spans="1:8" ht="50.25" customHeight="1" hidden="1">
      <c r="A96" s="60" t="s">
        <v>1</v>
      </c>
      <c r="B96" s="80" t="s">
        <v>172</v>
      </c>
      <c r="C96" s="80" t="s">
        <v>173</v>
      </c>
      <c r="D96" s="61">
        <v>9100051180</v>
      </c>
      <c r="E96" s="61">
        <v>242</v>
      </c>
      <c r="F96" s="246">
        <f>'прил.7'!G101</f>
        <v>0</v>
      </c>
      <c r="G96" s="246">
        <f>'прил.7'!H101</f>
        <v>0</v>
      </c>
      <c r="H96" s="246">
        <f>'прил.7'!I101</f>
        <v>0</v>
      </c>
    </row>
    <row r="97" spans="1:8" ht="47.25" customHeight="1">
      <c r="A97" s="133" t="s">
        <v>575</v>
      </c>
      <c r="B97" s="80" t="s">
        <v>172</v>
      </c>
      <c r="C97" s="80" t="s">
        <v>173</v>
      </c>
      <c r="D97" s="61">
        <v>9100051180</v>
      </c>
      <c r="E97" s="61">
        <v>244</v>
      </c>
      <c r="F97" s="246">
        <f>'прил.7'!G102</f>
        <v>2.3</v>
      </c>
      <c r="G97" s="246">
        <f>'прил.7'!H102</f>
        <v>0</v>
      </c>
      <c r="H97" s="246">
        <f>'прил.7'!I102</f>
        <v>0</v>
      </c>
    </row>
    <row r="98" spans="1:8" ht="58.5" customHeight="1">
      <c r="A98" s="78" t="s">
        <v>194</v>
      </c>
      <c r="B98" s="85" t="s">
        <v>173</v>
      </c>
      <c r="C98" s="85" t="s">
        <v>171</v>
      </c>
      <c r="D98" s="77"/>
      <c r="E98" s="77"/>
      <c r="F98" s="291">
        <f>'прил.7'!G103</f>
        <v>1816.3</v>
      </c>
      <c r="G98" s="291">
        <f>'прил.7'!H103</f>
        <v>400</v>
      </c>
      <c r="H98" s="291">
        <f>'прил.7'!I103</f>
        <v>400</v>
      </c>
    </row>
    <row r="99" spans="1:8" ht="63" hidden="1">
      <c r="A99" s="74" t="s">
        <v>33</v>
      </c>
      <c r="B99" s="80" t="s">
        <v>173</v>
      </c>
      <c r="C99" s="80" t="s">
        <v>108</v>
      </c>
      <c r="D99" s="58"/>
      <c r="E99" s="86"/>
      <c r="F99" s="246">
        <f>'прил.7'!G104</f>
        <v>0</v>
      </c>
      <c r="G99" s="246">
        <f>'прил.7'!H104</f>
        <v>0</v>
      </c>
      <c r="H99" s="246">
        <f>'прил.7'!I104</f>
        <v>0</v>
      </c>
    </row>
    <row r="100" spans="1:8" ht="31.5" hidden="1">
      <c r="A100" s="60" t="s">
        <v>189</v>
      </c>
      <c r="B100" s="80" t="s">
        <v>173</v>
      </c>
      <c r="C100" s="80" t="s">
        <v>108</v>
      </c>
      <c r="D100" s="61">
        <v>7050000000</v>
      </c>
      <c r="E100" s="77"/>
      <c r="F100" s="246">
        <f>'прил.7'!G105</f>
        <v>0</v>
      </c>
      <c r="G100" s="246">
        <f>'прил.7'!H105</f>
        <v>0</v>
      </c>
      <c r="H100" s="246">
        <f>'прил.7'!I105</f>
        <v>0</v>
      </c>
    </row>
    <row r="101" spans="1:8" ht="15.75" hidden="1">
      <c r="A101" s="60" t="s">
        <v>355</v>
      </c>
      <c r="B101" s="80" t="s">
        <v>173</v>
      </c>
      <c r="C101" s="80" t="s">
        <v>108</v>
      </c>
      <c r="D101" s="61">
        <v>7050000000</v>
      </c>
      <c r="E101" s="61">
        <v>244</v>
      </c>
      <c r="F101" s="246">
        <f>'прил.7'!G106</f>
        <v>0</v>
      </c>
      <c r="G101" s="246">
        <f>'прил.7'!H106</f>
        <v>0</v>
      </c>
      <c r="H101" s="246">
        <f>'прил.7'!I106</f>
        <v>0</v>
      </c>
    </row>
    <row r="102" spans="1:8" ht="31.5" hidden="1">
      <c r="A102" s="60" t="s">
        <v>195</v>
      </c>
      <c r="B102" s="80" t="s">
        <v>173</v>
      </c>
      <c r="C102" s="80" t="s">
        <v>108</v>
      </c>
      <c r="D102" s="61"/>
      <c r="E102" s="70"/>
      <c r="F102" s="246">
        <f>'прил.7'!G107</f>
        <v>0</v>
      </c>
      <c r="G102" s="246">
        <f>'прил.7'!H107</f>
        <v>0</v>
      </c>
      <c r="H102" s="246">
        <f>'прил.7'!I107</f>
        <v>0</v>
      </c>
    </row>
    <row r="103" spans="1:8" ht="63" hidden="1">
      <c r="A103" s="60" t="s">
        <v>214</v>
      </c>
      <c r="B103" s="80" t="s">
        <v>173</v>
      </c>
      <c r="C103" s="80" t="s">
        <v>108</v>
      </c>
      <c r="D103" s="61">
        <v>9100023040</v>
      </c>
      <c r="E103" s="58"/>
      <c r="F103" s="246">
        <f>'прил.7'!G108</f>
        <v>0</v>
      </c>
      <c r="G103" s="246">
        <f>'прил.7'!H108</f>
        <v>0</v>
      </c>
      <c r="H103" s="246">
        <f>'прил.7'!I108</f>
        <v>0</v>
      </c>
    </row>
    <row r="104" spans="1:8" ht="96.75" customHeight="1" hidden="1">
      <c r="A104" s="60" t="s">
        <v>358</v>
      </c>
      <c r="B104" s="80" t="s">
        <v>173</v>
      </c>
      <c r="C104" s="80" t="s">
        <v>108</v>
      </c>
      <c r="D104" s="61">
        <v>9100023040</v>
      </c>
      <c r="E104" s="61">
        <v>611</v>
      </c>
      <c r="F104" s="246">
        <f>'прил.7'!G109</f>
        <v>0</v>
      </c>
      <c r="G104" s="246">
        <f>'прил.7'!H109</f>
        <v>0</v>
      </c>
      <c r="H104" s="246">
        <f>'прил.7'!I109</f>
        <v>0</v>
      </c>
    </row>
    <row r="105" spans="1:8" ht="63">
      <c r="A105" s="99" t="s">
        <v>549</v>
      </c>
      <c r="B105" s="79" t="s">
        <v>173</v>
      </c>
      <c r="C105" s="79">
        <v>10</v>
      </c>
      <c r="D105" s="64"/>
      <c r="E105" s="64"/>
      <c r="F105" s="291">
        <f>'прил.7'!G110</f>
        <v>1816.3</v>
      </c>
      <c r="G105" s="291">
        <f>'прил.7'!H110</f>
        <v>400</v>
      </c>
      <c r="H105" s="291">
        <f>'прил.7'!I110</f>
        <v>400</v>
      </c>
    </row>
    <row r="106" spans="1:8" ht="90" customHeight="1">
      <c r="A106" s="197" t="s">
        <v>550</v>
      </c>
      <c r="B106" s="80" t="s">
        <v>173</v>
      </c>
      <c r="C106" s="80" t="s">
        <v>111</v>
      </c>
      <c r="D106" s="152" t="s">
        <v>456</v>
      </c>
      <c r="E106" s="95"/>
      <c r="F106" s="246">
        <f>'прил.7'!G111</f>
        <v>1816.3</v>
      </c>
      <c r="G106" s="246">
        <f>'прил.7'!H111</f>
        <v>400</v>
      </c>
      <c r="H106" s="246">
        <f>'прил.7'!I111</f>
        <v>400</v>
      </c>
    </row>
    <row r="107" spans="1:8" ht="42.75" customHeight="1">
      <c r="A107" s="196" t="s">
        <v>458</v>
      </c>
      <c r="B107" s="80" t="s">
        <v>173</v>
      </c>
      <c r="C107" s="80" t="s">
        <v>111</v>
      </c>
      <c r="D107" s="154" t="s">
        <v>457</v>
      </c>
      <c r="E107" s="15"/>
      <c r="F107" s="246">
        <f>'прил.7'!G112</f>
        <v>60.8</v>
      </c>
      <c r="G107" s="246">
        <f>'прил.7'!H112</f>
        <v>100</v>
      </c>
      <c r="H107" s="246">
        <f>'прил.7'!I112</f>
        <v>100</v>
      </c>
    </row>
    <row r="108" spans="1:8" ht="17.25" customHeight="1">
      <c r="A108" s="196" t="s">
        <v>373</v>
      </c>
      <c r="B108" s="80" t="s">
        <v>173</v>
      </c>
      <c r="C108" s="80">
        <v>10</v>
      </c>
      <c r="D108" s="61">
        <v>4900123010</v>
      </c>
      <c r="E108" s="95"/>
      <c r="F108" s="246">
        <f>'прил.7'!G113</f>
        <v>60.8</v>
      </c>
      <c r="G108" s="246">
        <f>'прил.7'!H113</f>
        <v>100</v>
      </c>
      <c r="H108" s="246">
        <f>'прил.7'!I113</f>
        <v>100</v>
      </c>
    </row>
    <row r="109" spans="1:8" ht="17.25" customHeight="1" hidden="1">
      <c r="A109" s="60" t="s">
        <v>355</v>
      </c>
      <c r="B109" s="80" t="s">
        <v>173</v>
      </c>
      <c r="C109" s="80">
        <v>10</v>
      </c>
      <c r="D109" s="61">
        <v>4900123010</v>
      </c>
      <c r="E109" s="95">
        <v>244</v>
      </c>
      <c r="F109" s="246">
        <f>'прил.7'!G114</f>
        <v>0</v>
      </c>
      <c r="G109" s="246">
        <f>'прил.7'!H114</f>
        <v>0</v>
      </c>
      <c r="H109" s="246">
        <f>'прил.7'!I114</f>
        <v>0</v>
      </c>
    </row>
    <row r="110" spans="1:8" ht="19.5" customHeight="1">
      <c r="A110" s="297" t="s">
        <v>577</v>
      </c>
      <c r="B110" s="80" t="s">
        <v>173</v>
      </c>
      <c r="C110" s="80">
        <v>10</v>
      </c>
      <c r="D110" s="61">
        <v>4900123010</v>
      </c>
      <c r="E110" s="95">
        <v>610</v>
      </c>
      <c r="F110" s="188">
        <f>'прил.7'!G115</f>
        <v>60.8</v>
      </c>
      <c r="G110" s="188">
        <f>'прил.7'!H115</f>
        <v>100</v>
      </c>
      <c r="H110" s="188">
        <f>'прил.7'!I115</f>
        <v>100</v>
      </c>
    </row>
    <row r="111" spans="1:8" ht="30.75" customHeight="1">
      <c r="A111" s="196" t="s">
        <v>519</v>
      </c>
      <c r="B111" s="80" t="s">
        <v>173</v>
      </c>
      <c r="C111" s="80">
        <v>10</v>
      </c>
      <c r="D111" s="154" t="s">
        <v>518</v>
      </c>
      <c r="E111" s="95"/>
      <c r="F111" s="188">
        <f>'прил.7'!G116</f>
        <v>1755.5</v>
      </c>
      <c r="G111" s="188">
        <f>'прил.7'!H116</f>
        <v>300</v>
      </c>
      <c r="H111" s="188">
        <f>'прил.7'!I116</f>
        <v>300</v>
      </c>
    </row>
    <row r="112" spans="1:8" ht="16.5" customHeight="1">
      <c r="A112" s="196" t="s">
        <v>373</v>
      </c>
      <c r="B112" s="80" t="s">
        <v>173</v>
      </c>
      <c r="C112" s="80">
        <v>10</v>
      </c>
      <c r="D112" s="61">
        <v>4900223010</v>
      </c>
      <c r="E112" s="95"/>
      <c r="F112" s="188">
        <f>'прил.7'!G117</f>
        <v>355.5</v>
      </c>
      <c r="G112" s="188">
        <f>'прил.7'!H117</f>
        <v>300</v>
      </c>
      <c r="H112" s="188">
        <f>'прил.7'!I117</f>
        <v>300</v>
      </c>
    </row>
    <row r="113" spans="1:8" ht="45" customHeight="1">
      <c r="A113" s="133" t="s">
        <v>575</v>
      </c>
      <c r="B113" s="80" t="s">
        <v>173</v>
      </c>
      <c r="C113" s="80">
        <v>10</v>
      </c>
      <c r="D113" s="61">
        <v>4900223010</v>
      </c>
      <c r="E113" s="95">
        <v>240</v>
      </c>
      <c r="F113" s="188">
        <f>'прил.7'!G118</f>
        <v>355.5</v>
      </c>
      <c r="G113" s="188">
        <f>'прил.7'!H118</f>
        <v>300</v>
      </c>
      <c r="H113" s="188">
        <f>'прил.7'!I118</f>
        <v>300</v>
      </c>
    </row>
    <row r="114" spans="1:8" ht="45" customHeight="1">
      <c r="A114" s="60" t="s">
        <v>387</v>
      </c>
      <c r="B114" s="80" t="s">
        <v>173</v>
      </c>
      <c r="C114" s="80">
        <v>10</v>
      </c>
      <c r="D114" s="83" t="s">
        <v>604</v>
      </c>
      <c r="E114" s="95"/>
      <c r="F114" s="188">
        <f>'прил.7'!G119</f>
        <v>1400</v>
      </c>
      <c r="G114" s="188">
        <f>'прил.7'!H119</f>
        <v>0</v>
      </c>
      <c r="H114" s="188">
        <f>'прил.7'!I119</f>
        <v>0</v>
      </c>
    </row>
    <row r="115" spans="1:8" ht="45" customHeight="1">
      <c r="A115" s="304" t="s">
        <v>575</v>
      </c>
      <c r="B115" s="80" t="s">
        <v>173</v>
      </c>
      <c r="C115" s="80">
        <v>10</v>
      </c>
      <c r="D115" s="83" t="s">
        <v>604</v>
      </c>
      <c r="E115" s="95">
        <v>240</v>
      </c>
      <c r="F115" s="188">
        <f>'прил.7'!G120</f>
        <v>1400</v>
      </c>
      <c r="G115" s="188">
        <f>'прил.7'!H120</f>
        <v>0</v>
      </c>
      <c r="H115" s="188">
        <f>'прил.7'!I120</f>
        <v>0</v>
      </c>
    </row>
    <row r="116" spans="1:8" ht="17.25" customHeight="1">
      <c r="A116" s="78" t="s">
        <v>196</v>
      </c>
      <c r="B116" s="85" t="s">
        <v>174</v>
      </c>
      <c r="C116" s="85" t="s">
        <v>171</v>
      </c>
      <c r="D116" s="86"/>
      <c r="E116" s="86"/>
      <c r="F116" s="291">
        <f>'прил.7'!G121</f>
        <v>24791.899999999998</v>
      </c>
      <c r="G116" s="291">
        <f>'прил.7'!H121</f>
        <v>2295</v>
      </c>
      <c r="H116" s="291">
        <f>'прил.7'!I121</f>
        <v>2438</v>
      </c>
    </row>
    <row r="117" spans="1:8" ht="16.5" customHeight="1">
      <c r="A117" s="60" t="s">
        <v>154</v>
      </c>
      <c r="B117" s="80" t="s">
        <v>174</v>
      </c>
      <c r="C117" s="80" t="s">
        <v>108</v>
      </c>
      <c r="D117" s="61"/>
      <c r="E117" s="61"/>
      <c r="F117" s="246">
        <f>'прил.7'!G122</f>
        <v>24536.899999999998</v>
      </c>
      <c r="G117" s="246">
        <f>'прил.7'!H122</f>
        <v>2295</v>
      </c>
      <c r="H117" s="246">
        <f>'прил.7'!I122</f>
        <v>2438</v>
      </c>
    </row>
    <row r="118" spans="1:8" ht="91.5" customHeight="1">
      <c r="A118" s="197" t="s">
        <v>429</v>
      </c>
      <c r="B118" s="91" t="s">
        <v>174</v>
      </c>
      <c r="C118" s="91" t="s">
        <v>108</v>
      </c>
      <c r="D118" s="125">
        <v>3900000000</v>
      </c>
      <c r="E118" s="100"/>
      <c r="F118" s="267">
        <f>'прил.7'!G123</f>
        <v>24536.899999999998</v>
      </c>
      <c r="G118" s="267">
        <f>'прил.7'!H123</f>
        <v>2295</v>
      </c>
      <c r="H118" s="267">
        <f>'прил.7'!I123</f>
        <v>2438</v>
      </c>
    </row>
    <row r="119" spans="1:8" ht="81" customHeight="1">
      <c r="A119" s="196" t="s">
        <v>490</v>
      </c>
      <c r="B119" s="80" t="s">
        <v>174</v>
      </c>
      <c r="C119" s="80" t="s">
        <v>108</v>
      </c>
      <c r="D119" s="83">
        <v>3900100000</v>
      </c>
      <c r="E119" s="61"/>
      <c r="F119" s="266">
        <f>'прил.7'!G124</f>
        <v>3415.1</v>
      </c>
      <c r="G119" s="266">
        <f>'прил.7'!H124</f>
        <v>2295</v>
      </c>
      <c r="H119" s="266">
        <f>'прил.7'!I124</f>
        <v>2438</v>
      </c>
    </row>
    <row r="120" spans="1:8" ht="31.5" customHeight="1">
      <c r="A120" s="196" t="s">
        <v>300</v>
      </c>
      <c r="B120" s="80" t="s">
        <v>174</v>
      </c>
      <c r="C120" s="80" t="s">
        <v>108</v>
      </c>
      <c r="D120" s="83">
        <v>3900120300</v>
      </c>
      <c r="E120" s="61"/>
      <c r="F120" s="266">
        <f>'прил.7'!G125</f>
        <v>2673</v>
      </c>
      <c r="G120" s="266">
        <f>'прил.7'!H125</f>
        <v>2295</v>
      </c>
      <c r="H120" s="266">
        <f>'прил.7'!I125</f>
        <v>2438</v>
      </c>
    </row>
    <row r="121" spans="1:8" ht="31.5" customHeight="1">
      <c r="A121" s="133" t="s">
        <v>575</v>
      </c>
      <c r="B121" s="80" t="s">
        <v>174</v>
      </c>
      <c r="C121" s="80" t="s">
        <v>108</v>
      </c>
      <c r="D121" s="83">
        <v>3900120300</v>
      </c>
      <c r="E121" s="61">
        <v>240</v>
      </c>
      <c r="F121" s="266">
        <f>'прил.7'!G126</f>
        <v>30</v>
      </c>
      <c r="G121" s="266">
        <f>'прил.7'!H126</f>
        <v>0</v>
      </c>
      <c r="H121" s="266">
        <f>'прил.7'!I126</f>
        <v>0</v>
      </c>
    </row>
    <row r="122" spans="1:8" ht="20.25" customHeight="1">
      <c r="A122" s="133" t="s">
        <v>577</v>
      </c>
      <c r="B122" s="80" t="s">
        <v>174</v>
      </c>
      <c r="C122" s="80" t="s">
        <v>108</v>
      </c>
      <c r="D122" s="83">
        <v>3900120300</v>
      </c>
      <c r="E122" s="61">
        <v>610</v>
      </c>
      <c r="F122" s="273">
        <f>'прил.7'!G127</f>
        <v>2643</v>
      </c>
      <c r="G122" s="273">
        <f>'прил.7'!H127</f>
        <v>2295</v>
      </c>
      <c r="H122" s="273">
        <f>'прил.7'!I127</f>
        <v>2438</v>
      </c>
    </row>
    <row r="123" spans="1:8" ht="54.75" customHeight="1">
      <c r="A123" s="60" t="s">
        <v>304</v>
      </c>
      <c r="B123" s="80" t="s">
        <v>174</v>
      </c>
      <c r="C123" s="80" t="s">
        <v>108</v>
      </c>
      <c r="D123" s="83" t="s">
        <v>500</v>
      </c>
      <c r="E123" s="61"/>
      <c r="F123" s="273">
        <f>'прил.7'!G128</f>
        <v>742.1</v>
      </c>
      <c r="G123" s="273">
        <f>'прил.7'!H128</f>
        <v>0</v>
      </c>
      <c r="H123" s="273">
        <f>'прил.7'!I128</f>
        <v>0</v>
      </c>
    </row>
    <row r="124" spans="1:8" ht="54.75" customHeight="1">
      <c r="A124" s="133" t="s">
        <v>575</v>
      </c>
      <c r="B124" s="80" t="s">
        <v>174</v>
      </c>
      <c r="C124" s="80" t="s">
        <v>108</v>
      </c>
      <c r="D124" s="83" t="s">
        <v>500</v>
      </c>
      <c r="E124" s="61">
        <v>240</v>
      </c>
      <c r="F124" s="273">
        <f>'прил.7'!G129</f>
        <v>582.1</v>
      </c>
      <c r="G124" s="273">
        <f>'прил.7'!H129</f>
        <v>0</v>
      </c>
      <c r="H124" s="273">
        <f>'прил.7'!I129</f>
        <v>0</v>
      </c>
    </row>
    <row r="125" spans="1:8" ht="30.75" customHeight="1">
      <c r="A125" s="60" t="s">
        <v>87</v>
      </c>
      <c r="B125" s="80" t="s">
        <v>174</v>
      </c>
      <c r="C125" s="80" t="s">
        <v>108</v>
      </c>
      <c r="D125" s="83" t="s">
        <v>500</v>
      </c>
      <c r="E125" s="61">
        <v>610</v>
      </c>
      <c r="F125" s="273">
        <f>'прил.7'!G130</f>
        <v>160</v>
      </c>
      <c r="G125" s="273">
        <f>'прил.7'!H130</f>
        <v>0</v>
      </c>
      <c r="H125" s="273">
        <f>'прил.7'!I130</f>
        <v>0</v>
      </c>
    </row>
    <row r="126" spans="1:8" ht="45" customHeight="1">
      <c r="A126" s="131" t="s">
        <v>435</v>
      </c>
      <c r="B126" s="82" t="s">
        <v>174</v>
      </c>
      <c r="C126" s="82" t="s">
        <v>108</v>
      </c>
      <c r="D126" s="83">
        <v>3900200000</v>
      </c>
      <c r="E126" s="61"/>
      <c r="F126" s="266">
        <f>'прил.7'!G131</f>
        <v>900.4000000000001</v>
      </c>
      <c r="G126" s="266">
        <f>'прил.7'!H131</f>
        <v>0</v>
      </c>
      <c r="H126" s="266">
        <f>'прил.7'!I131</f>
        <v>0</v>
      </c>
    </row>
    <row r="127" spans="1:8" ht="93" customHeight="1">
      <c r="A127" s="60" t="s">
        <v>305</v>
      </c>
      <c r="B127" s="80" t="s">
        <v>174</v>
      </c>
      <c r="C127" s="80" t="s">
        <v>108</v>
      </c>
      <c r="D127" s="83" t="s">
        <v>356</v>
      </c>
      <c r="E127" s="61"/>
      <c r="F127" s="273">
        <f>'прил.7'!G132</f>
        <v>900.4000000000001</v>
      </c>
      <c r="G127" s="273">
        <f>'прил.7'!H132</f>
        <v>0</v>
      </c>
      <c r="H127" s="273">
        <f>'прил.7'!I132</f>
        <v>0</v>
      </c>
    </row>
    <row r="128" spans="1:8" ht="46.5" customHeight="1">
      <c r="A128" s="133" t="s">
        <v>575</v>
      </c>
      <c r="B128" s="80" t="s">
        <v>174</v>
      </c>
      <c r="C128" s="80" t="s">
        <v>108</v>
      </c>
      <c r="D128" s="83" t="s">
        <v>356</v>
      </c>
      <c r="E128" s="61">
        <v>240</v>
      </c>
      <c r="F128" s="273">
        <f>'прил.7'!G133</f>
        <v>900.4000000000001</v>
      </c>
      <c r="G128" s="273">
        <f>'прил.7'!H133</f>
        <v>0</v>
      </c>
      <c r="H128" s="273">
        <f>'прил.7'!I133</f>
        <v>0</v>
      </c>
    </row>
    <row r="129" spans="1:8" ht="17.25" customHeight="1" hidden="1">
      <c r="A129" s="60" t="s">
        <v>445</v>
      </c>
      <c r="B129" s="80" t="s">
        <v>174</v>
      </c>
      <c r="C129" s="80" t="s">
        <v>108</v>
      </c>
      <c r="D129" s="83">
        <v>3900400000</v>
      </c>
      <c r="E129" s="95"/>
      <c r="F129" s="273">
        <f>'прил.7'!G136</f>
        <v>0</v>
      </c>
      <c r="G129" s="273">
        <f>'прил.7'!H136</f>
        <v>0</v>
      </c>
      <c r="H129" s="273">
        <f>'прил.7'!I136</f>
        <v>0</v>
      </c>
    </row>
    <row r="130" spans="1:8" ht="27.75" customHeight="1" hidden="1">
      <c r="A130" s="196" t="s">
        <v>300</v>
      </c>
      <c r="B130" s="80" t="s">
        <v>174</v>
      </c>
      <c r="C130" s="80" t="s">
        <v>108</v>
      </c>
      <c r="D130" s="83">
        <v>3900420300</v>
      </c>
      <c r="E130" s="95"/>
      <c r="F130" s="273">
        <f>'прил.7'!G137</f>
        <v>0</v>
      </c>
      <c r="G130" s="273">
        <f>'прил.7'!H137</f>
        <v>0</v>
      </c>
      <c r="H130" s="273">
        <f>'прил.7'!I137</f>
        <v>0</v>
      </c>
    </row>
    <row r="131" spans="1:8" ht="17.25" customHeight="1" hidden="1">
      <c r="A131" s="60" t="s">
        <v>355</v>
      </c>
      <c r="B131" s="80" t="s">
        <v>174</v>
      </c>
      <c r="C131" s="80" t="s">
        <v>108</v>
      </c>
      <c r="D131" s="83">
        <v>3900420300</v>
      </c>
      <c r="E131" s="95">
        <v>244</v>
      </c>
      <c r="F131" s="273">
        <f>'прил.7'!G138</f>
        <v>0</v>
      </c>
      <c r="G131" s="273">
        <f>'прил.7'!H138</f>
        <v>0</v>
      </c>
      <c r="H131" s="273">
        <f>'прил.7'!I138</f>
        <v>0</v>
      </c>
    </row>
    <row r="132" spans="1:8" ht="30" customHeight="1">
      <c r="A132" s="131" t="s">
        <v>434</v>
      </c>
      <c r="B132" s="82" t="s">
        <v>174</v>
      </c>
      <c r="C132" s="82" t="s">
        <v>108</v>
      </c>
      <c r="D132" s="83">
        <v>3900500000</v>
      </c>
      <c r="E132" s="83"/>
      <c r="F132" s="266">
        <f>'прил.7'!G139</f>
        <v>18790.199999999997</v>
      </c>
      <c r="G132" s="266">
        <f>'прил.7'!H139</f>
        <v>0</v>
      </c>
      <c r="H132" s="266">
        <f>'прил.7'!I139</f>
        <v>0</v>
      </c>
    </row>
    <row r="133" spans="1:8" ht="49.5" customHeight="1">
      <c r="A133" s="60" t="s">
        <v>304</v>
      </c>
      <c r="B133" s="82" t="s">
        <v>174</v>
      </c>
      <c r="C133" s="82" t="s">
        <v>108</v>
      </c>
      <c r="D133" s="83" t="s">
        <v>433</v>
      </c>
      <c r="E133" s="83"/>
      <c r="F133" s="246">
        <f>'прил.7'!G140</f>
        <v>18790.199999999997</v>
      </c>
      <c r="G133" s="246">
        <f>'прил.7'!H140</f>
        <v>0</v>
      </c>
      <c r="H133" s="246">
        <f>'прил.7'!I140</f>
        <v>0</v>
      </c>
    </row>
    <row r="134" spans="1:8" ht="47.25" customHeight="1">
      <c r="A134" s="133" t="s">
        <v>575</v>
      </c>
      <c r="B134" s="82" t="s">
        <v>174</v>
      </c>
      <c r="C134" s="82" t="s">
        <v>108</v>
      </c>
      <c r="D134" s="83" t="s">
        <v>433</v>
      </c>
      <c r="E134" s="83">
        <v>240</v>
      </c>
      <c r="F134" s="246">
        <f>'прил.7'!G141</f>
        <v>18790.199999999997</v>
      </c>
      <c r="G134" s="246">
        <f>'прил.7'!H134</f>
        <v>0</v>
      </c>
      <c r="H134" s="246">
        <f>'прил.7'!I134</f>
        <v>0</v>
      </c>
    </row>
    <row r="135" spans="1:8" ht="67.5" customHeight="1" hidden="1">
      <c r="A135" s="60" t="s">
        <v>448</v>
      </c>
      <c r="B135" s="80" t="s">
        <v>174</v>
      </c>
      <c r="C135" s="80" t="s">
        <v>108</v>
      </c>
      <c r="D135" s="83">
        <v>3900600000</v>
      </c>
      <c r="E135" s="95"/>
      <c r="F135" s="246">
        <f>'прил.7'!G142</f>
        <v>0</v>
      </c>
      <c r="G135" s="246">
        <f>'прил.7'!H142</f>
        <v>0</v>
      </c>
      <c r="H135" s="246">
        <f>'прил.7'!I142</f>
        <v>0</v>
      </c>
    </row>
    <row r="136" spans="1:8" ht="30" customHeight="1" hidden="1">
      <c r="A136" s="196" t="s">
        <v>300</v>
      </c>
      <c r="B136" s="80" t="s">
        <v>174</v>
      </c>
      <c r="C136" s="80" t="s">
        <v>108</v>
      </c>
      <c r="D136" s="83">
        <v>3900620300</v>
      </c>
      <c r="E136" s="95"/>
      <c r="F136" s="246">
        <f>'прил.7'!G143</f>
        <v>0</v>
      </c>
      <c r="G136" s="246">
        <f>'прил.7'!H143</f>
        <v>0</v>
      </c>
      <c r="H136" s="246">
        <f>'прил.7'!I143</f>
        <v>0</v>
      </c>
    </row>
    <row r="137" spans="1:8" ht="49.5" customHeight="1" hidden="1">
      <c r="A137" s="60" t="s">
        <v>40</v>
      </c>
      <c r="B137" s="80" t="s">
        <v>174</v>
      </c>
      <c r="C137" s="80" t="s">
        <v>108</v>
      </c>
      <c r="D137" s="83">
        <v>3900620300</v>
      </c>
      <c r="E137" s="95">
        <v>244</v>
      </c>
      <c r="F137" s="246">
        <f>'прил.7'!G144</f>
        <v>0</v>
      </c>
      <c r="G137" s="246">
        <f>'прил.7'!H144</f>
        <v>0</v>
      </c>
      <c r="H137" s="246">
        <f>'прил.7'!I144</f>
        <v>0</v>
      </c>
    </row>
    <row r="138" spans="1:8" ht="30" customHeight="1">
      <c r="A138" s="131" t="s">
        <v>520</v>
      </c>
      <c r="B138" s="82" t="s">
        <v>174</v>
      </c>
      <c r="C138" s="82" t="s">
        <v>108</v>
      </c>
      <c r="D138" s="83">
        <v>3900700000</v>
      </c>
      <c r="E138" s="83"/>
      <c r="F138" s="266">
        <f>'прил.7'!G145</f>
        <v>1431.2</v>
      </c>
      <c r="G138" s="266">
        <f>'прил.7'!H145</f>
        <v>0</v>
      </c>
      <c r="H138" s="266">
        <f>'прил.7'!I145</f>
        <v>0</v>
      </c>
    </row>
    <row r="139" spans="1:8" ht="31.5" customHeight="1">
      <c r="A139" s="196" t="s">
        <v>300</v>
      </c>
      <c r="B139" s="80" t="s">
        <v>174</v>
      </c>
      <c r="C139" s="80" t="s">
        <v>108</v>
      </c>
      <c r="D139" s="83">
        <v>3900720300</v>
      </c>
      <c r="E139" s="61"/>
      <c r="F139" s="246">
        <f>'прил.7'!G146</f>
        <v>1431.2</v>
      </c>
      <c r="G139" s="246">
        <f>'прил.7'!H146</f>
        <v>0</v>
      </c>
      <c r="H139" s="246">
        <f>'прил.7'!I146</f>
        <v>0</v>
      </c>
    </row>
    <row r="140" spans="1:8" ht="49.5" customHeight="1">
      <c r="A140" s="133" t="s">
        <v>575</v>
      </c>
      <c r="B140" s="80" t="s">
        <v>174</v>
      </c>
      <c r="C140" s="80" t="s">
        <v>108</v>
      </c>
      <c r="D140" s="83">
        <v>3900720300</v>
      </c>
      <c r="E140" s="61">
        <v>240</v>
      </c>
      <c r="F140" s="246">
        <f>'прил.7'!G147</f>
        <v>1431.2</v>
      </c>
      <c r="G140" s="246">
        <f>'прил.7'!H147</f>
        <v>0</v>
      </c>
      <c r="H140" s="246">
        <f>'прил.7'!I147</f>
        <v>0</v>
      </c>
    </row>
    <row r="141" spans="1:8" ht="40.5" customHeight="1">
      <c r="A141" s="98" t="s">
        <v>552</v>
      </c>
      <c r="B141" s="82" t="s">
        <v>174</v>
      </c>
      <c r="C141" s="82" t="s">
        <v>551</v>
      </c>
      <c r="D141" s="83"/>
      <c r="E141" s="95"/>
      <c r="F141" s="246">
        <f>'прил.7'!G148</f>
        <v>255.00000000000023</v>
      </c>
      <c r="G141" s="246">
        <f>'прил.7'!H148</f>
        <v>0</v>
      </c>
      <c r="H141" s="246">
        <f>'прил.7'!I148</f>
        <v>0</v>
      </c>
    </row>
    <row r="142" spans="1:8" ht="30.75" customHeight="1">
      <c r="A142" s="133" t="s">
        <v>606</v>
      </c>
      <c r="B142" s="134" t="s">
        <v>174</v>
      </c>
      <c r="C142" s="134" t="s">
        <v>551</v>
      </c>
      <c r="D142" s="95">
        <v>9100071780</v>
      </c>
      <c r="E142" s="95"/>
      <c r="F142" s="246">
        <f>'прил.7'!G149</f>
        <v>255.00000000000023</v>
      </c>
      <c r="G142" s="246">
        <f>'прил.7'!H149</f>
        <v>0</v>
      </c>
      <c r="H142" s="246">
        <f>'прил.7'!I149</f>
        <v>0</v>
      </c>
    </row>
    <row r="143" spans="1:8" ht="45.75" customHeight="1">
      <c r="A143" s="133" t="s">
        <v>575</v>
      </c>
      <c r="B143" s="134" t="s">
        <v>174</v>
      </c>
      <c r="C143" s="134" t="s">
        <v>551</v>
      </c>
      <c r="D143" s="95">
        <v>9100071780</v>
      </c>
      <c r="E143" s="95">
        <v>240</v>
      </c>
      <c r="F143" s="246">
        <f>'прил.7'!G150</f>
        <v>255.00000000000023</v>
      </c>
      <c r="G143" s="246">
        <f>'прил.7'!H150</f>
        <v>0</v>
      </c>
      <c r="H143" s="246">
        <f>'прил.7'!I150</f>
        <v>0</v>
      </c>
    </row>
    <row r="144" spans="1:8" ht="45.75" customHeight="1" hidden="1">
      <c r="A144" s="60" t="s">
        <v>387</v>
      </c>
      <c r="B144" s="134" t="s">
        <v>174</v>
      </c>
      <c r="C144" s="134" t="s">
        <v>551</v>
      </c>
      <c r="D144" s="83" t="s">
        <v>272</v>
      </c>
      <c r="E144" s="95"/>
      <c r="F144" s="246">
        <f>'прил.7'!G151</f>
        <v>0</v>
      </c>
      <c r="G144" s="246">
        <f>'прил.7'!H151</f>
        <v>0</v>
      </c>
      <c r="H144" s="246">
        <f>'прил.7'!I151</f>
        <v>0</v>
      </c>
    </row>
    <row r="145" spans="1:8" ht="45.75" customHeight="1" hidden="1">
      <c r="A145" s="304" t="s">
        <v>575</v>
      </c>
      <c r="B145" s="134" t="s">
        <v>174</v>
      </c>
      <c r="C145" s="134" t="s">
        <v>551</v>
      </c>
      <c r="D145" s="83" t="s">
        <v>272</v>
      </c>
      <c r="E145" s="95">
        <v>240</v>
      </c>
      <c r="F145" s="246">
        <f>'прил.7'!G152</f>
        <v>0</v>
      </c>
      <c r="G145" s="246">
        <f>'прил.7'!H152</f>
        <v>0</v>
      </c>
      <c r="H145" s="246">
        <f>'прил.7'!I152</f>
        <v>0</v>
      </c>
    </row>
    <row r="146" spans="1:8" ht="20.25" customHeight="1">
      <c r="A146" s="98" t="s">
        <v>197</v>
      </c>
      <c r="B146" s="101" t="s">
        <v>109</v>
      </c>
      <c r="C146" s="101" t="s">
        <v>171</v>
      </c>
      <c r="D146" s="77"/>
      <c r="E146" s="77"/>
      <c r="F146" s="291">
        <f>'прил.7'!G153</f>
        <v>138969.8</v>
      </c>
      <c r="G146" s="291">
        <f>'прил.7'!H153</f>
        <v>29864</v>
      </c>
      <c r="H146" s="291">
        <f>'прил.7'!I153</f>
        <v>28010.5</v>
      </c>
    </row>
    <row r="147" spans="1:8" ht="15.75">
      <c r="A147" s="74" t="s">
        <v>156</v>
      </c>
      <c r="B147" s="91" t="s">
        <v>109</v>
      </c>
      <c r="C147" s="91" t="s">
        <v>170</v>
      </c>
      <c r="D147" s="58"/>
      <c r="E147" s="58"/>
      <c r="F147" s="291">
        <f>'прил.7'!G154</f>
        <v>793.1</v>
      </c>
      <c r="G147" s="291">
        <f>'прил.7'!H154</f>
        <v>505</v>
      </c>
      <c r="H147" s="291">
        <f>'прил.7'!I154</f>
        <v>1505</v>
      </c>
    </row>
    <row r="148" spans="1:8" ht="31.5">
      <c r="A148" s="60" t="s">
        <v>198</v>
      </c>
      <c r="B148" s="80" t="s">
        <v>109</v>
      </c>
      <c r="C148" s="80" t="s">
        <v>170</v>
      </c>
      <c r="D148" s="61">
        <v>9100000000</v>
      </c>
      <c r="E148" s="61"/>
      <c r="F148" s="246">
        <f>'прил.7'!G155</f>
        <v>793.1</v>
      </c>
      <c r="G148" s="246">
        <f>'прил.7'!H155</f>
        <v>505</v>
      </c>
      <c r="H148" s="246">
        <f>'прил.7'!I155</f>
        <v>1505</v>
      </c>
    </row>
    <row r="149" spans="1:8" ht="15.75" hidden="1">
      <c r="A149" s="60" t="s">
        <v>199</v>
      </c>
      <c r="B149" s="80" t="s">
        <v>109</v>
      </c>
      <c r="C149" s="80" t="s">
        <v>170</v>
      </c>
      <c r="D149" s="61">
        <v>9100020000</v>
      </c>
      <c r="E149" s="61"/>
      <c r="F149" s="246">
        <f>'прил.7'!G156</f>
        <v>793.1</v>
      </c>
      <c r="G149" s="246">
        <f>'прил.7'!H156</f>
        <v>505</v>
      </c>
      <c r="H149" s="246">
        <f>'прил.7'!I156</f>
        <v>1505</v>
      </c>
    </row>
    <row r="150" spans="1:8" ht="31.5">
      <c r="A150" s="60" t="s">
        <v>200</v>
      </c>
      <c r="B150" s="80" t="s">
        <v>109</v>
      </c>
      <c r="C150" s="80" t="s">
        <v>170</v>
      </c>
      <c r="D150" s="61">
        <v>9100021050</v>
      </c>
      <c r="E150" s="61"/>
      <c r="F150" s="246">
        <f>'прил.7'!G157</f>
        <v>766.5</v>
      </c>
      <c r="G150" s="246">
        <f>'прил.7'!H157</f>
        <v>500</v>
      </c>
      <c r="H150" s="246">
        <f>'прил.7'!I157</f>
        <v>1500</v>
      </c>
    </row>
    <row r="151" spans="1:8" ht="47.25" hidden="1">
      <c r="A151" s="60" t="s">
        <v>40</v>
      </c>
      <c r="B151" s="80" t="s">
        <v>109</v>
      </c>
      <c r="C151" s="80" t="s">
        <v>170</v>
      </c>
      <c r="D151" s="61">
        <v>9100021050</v>
      </c>
      <c r="E151" s="61">
        <v>243</v>
      </c>
      <c r="F151" s="246">
        <f>'прил.7'!G158</f>
        <v>0</v>
      </c>
      <c r="G151" s="246">
        <f>'прил.7'!H158</f>
        <v>0</v>
      </c>
      <c r="H151" s="246">
        <f>'прил.7'!I158</f>
        <v>0</v>
      </c>
    </row>
    <row r="152" spans="1:8" ht="51.75" customHeight="1">
      <c r="A152" s="302" t="s">
        <v>575</v>
      </c>
      <c r="B152" s="80" t="s">
        <v>109</v>
      </c>
      <c r="C152" s="80" t="s">
        <v>170</v>
      </c>
      <c r="D152" s="61">
        <v>9100021050</v>
      </c>
      <c r="E152" s="61">
        <v>240</v>
      </c>
      <c r="F152" s="246">
        <f>'прил.7'!G159</f>
        <v>357.69999999999993</v>
      </c>
      <c r="G152" s="246">
        <f>'прил.7'!H159</f>
        <v>0</v>
      </c>
      <c r="H152" s="246">
        <f>'прил.7'!I159</f>
        <v>1000</v>
      </c>
    </row>
    <row r="153" spans="1:8" ht="15.75">
      <c r="A153" s="303" t="s">
        <v>577</v>
      </c>
      <c r="B153" s="80" t="s">
        <v>109</v>
      </c>
      <c r="C153" s="80" t="s">
        <v>170</v>
      </c>
      <c r="D153" s="61">
        <v>9100021050</v>
      </c>
      <c r="E153" s="61">
        <v>610</v>
      </c>
      <c r="F153" s="246">
        <f>'прил.7'!G160</f>
        <v>408.8</v>
      </c>
      <c r="G153" s="246">
        <f>'прил.7'!H160</f>
        <v>500</v>
      </c>
      <c r="H153" s="246">
        <f>'прил.7'!I160</f>
        <v>500</v>
      </c>
    </row>
    <row r="154" spans="1:8" ht="31.5" hidden="1">
      <c r="A154" s="60" t="s">
        <v>323</v>
      </c>
      <c r="B154" s="80" t="s">
        <v>109</v>
      </c>
      <c r="C154" s="80" t="s">
        <v>170</v>
      </c>
      <c r="D154" s="61">
        <v>9100021060</v>
      </c>
      <c r="E154" s="61"/>
      <c r="F154" s="246">
        <f>'прил.7'!G161</f>
        <v>0</v>
      </c>
      <c r="G154" s="246">
        <f>'прил.7'!H161</f>
        <v>0</v>
      </c>
      <c r="H154" s="246">
        <f>'прил.7'!I161</f>
        <v>0</v>
      </c>
    </row>
    <row r="155" spans="1:8" ht="47.25" hidden="1">
      <c r="A155" s="60" t="s">
        <v>302</v>
      </c>
      <c r="B155" s="80" t="s">
        <v>109</v>
      </c>
      <c r="C155" s="80" t="s">
        <v>170</v>
      </c>
      <c r="D155" s="61">
        <v>9100021060</v>
      </c>
      <c r="E155" s="61">
        <v>243</v>
      </c>
      <c r="F155" s="246">
        <f>'прил.7'!G162</f>
        <v>0</v>
      </c>
      <c r="G155" s="246">
        <v>0</v>
      </c>
      <c r="H155" s="246">
        <v>0</v>
      </c>
    </row>
    <row r="156" spans="1:8" ht="15.75">
      <c r="A156" s="60" t="s">
        <v>215</v>
      </c>
      <c r="B156" s="80" t="s">
        <v>109</v>
      </c>
      <c r="C156" s="80" t="s">
        <v>170</v>
      </c>
      <c r="D156" s="61">
        <v>9100023020</v>
      </c>
      <c r="E156" s="61"/>
      <c r="F156" s="266">
        <f>'прил.7'!G163</f>
        <v>26.599999999999998</v>
      </c>
      <c r="G156" s="266">
        <f>'прил.7'!H163</f>
        <v>5</v>
      </c>
      <c r="H156" s="266">
        <f>'прил.7'!I163</f>
        <v>5</v>
      </c>
    </row>
    <row r="157" spans="1:8" ht="52.5" customHeight="1">
      <c r="A157" s="133" t="s">
        <v>575</v>
      </c>
      <c r="B157" s="80" t="s">
        <v>109</v>
      </c>
      <c r="C157" s="80" t="s">
        <v>170</v>
      </c>
      <c r="D157" s="61">
        <v>9100023020</v>
      </c>
      <c r="E157" s="61">
        <v>240</v>
      </c>
      <c r="F157" s="266">
        <f>'прил.7'!G164</f>
        <v>26.599999999999998</v>
      </c>
      <c r="G157" s="266">
        <f>'прил.7'!H164</f>
        <v>5</v>
      </c>
      <c r="H157" s="266">
        <f>'прил.7'!I164</f>
        <v>5</v>
      </c>
    </row>
    <row r="158" spans="1:8" ht="15.75">
      <c r="A158" s="74" t="s">
        <v>157</v>
      </c>
      <c r="B158" s="79" t="s">
        <v>109</v>
      </c>
      <c r="C158" s="79" t="s">
        <v>172</v>
      </c>
      <c r="D158" s="64"/>
      <c r="E158" s="64"/>
      <c r="F158" s="291">
        <f>'прил.7'!G165</f>
        <v>49166.9</v>
      </c>
      <c r="G158" s="291">
        <f>'прил.7'!H165</f>
        <v>22653.5</v>
      </c>
      <c r="H158" s="291">
        <f>'прил.7'!I165</f>
        <v>7400</v>
      </c>
    </row>
    <row r="159" spans="1:8" ht="111" customHeight="1">
      <c r="A159" s="89" t="s">
        <v>377</v>
      </c>
      <c r="B159" s="80" t="s">
        <v>109</v>
      </c>
      <c r="C159" s="80" t="s">
        <v>172</v>
      </c>
      <c r="D159" s="83">
        <v>4100000000</v>
      </c>
      <c r="E159" s="61"/>
      <c r="F159" s="246">
        <f>'прил.7'!G166</f>
        <v>45401</v>
      </c>
      <c r="G159" s="246">
        <f>'прил.7'!H166</f>
        <v>21835.4</v>
      </c>
      <c r="H159" s="246">
        <f>'прил.7'!I166</f>
        <v>0</v>
      </c>
    </row>
    <row r="160" spans="1:8" ht="63" customHeight="1">
      <c r="A160" s="196" t="s">
        <v>427</v>
      </c>
      <c r="B160" s="80" t="s">
        <v>109</v>
      </c>
      <c r="C160" s="80" t="s">
        <v>172</v>
      </c>
      <c r="D160" s="83">
        <v>4100400000</v>
      </c>
      <c r="E160" s="61"/>
      <c r="F160" s="246">
        <f>'прил.7'!G167</f>
        <v>3351.7000000000003</v>
      </c>
      <c r="G160" s="246">
        <f>'прил.7'!H167</f>
        <v>2400</v>
      </c>
      <c r="H160" s="246">
        <f>'прил.7'!I167</f>
        <v>0</v>
      </c>
    </row>
    <row r="161" spans="1:8" ht="20.25" customHeight="1">
      <c r="A161" s="60" t="s">
        <v>201</v>
      </c>
      <c r="B161" s="80" t="s">
        <v>109</v>
      </c>
      <c r="C161" s="80" t="s">
        <v>172</v>
      </c>
      <c r="D161" s="83">
        <v>4100423090</v>
      </c>
      <c r="E161" s="61"/>
      <c r="F161" s="246">
        <f>'прил.7'!G168</f>
        <v>3351.7000000000003</v>
      </c>
      <c r="G161" s="246">
        <f>'прил.7'!H168</f>
        <v>2400</v>
      </c>
      <c r="H161" s="246">
        <f>'прил.7'!I168</f>
        <v>0</v>
      </c>
    </row>
    <row r="162" spans="1:8" ht="78" customHeight="1">
      <c r="A162" s="302" t="s">
        <v>578</v>
      </c>
      <c r="B162" s="80" t="s">
        <v>109</v>
      </c>
      <c r="C162" s="80" t="s">
        <v>172</v>
      </c>
      <c r="D162" s="83">
        <v>4100423090</v>
      </c>
      <c r="E162" s="83">
        <v>810</v>
      </c>
      <c r="F162" s="246">
        <f>'прил.7'!G169</f>
        <v>3351.7000000000003</v>
      </c>
      <c r="G162" s="246">
        <f>'прил.7'!H169</f>
        <v>2400</v>
      </c>
      <c r="H162" s="246">
        <f>'прил.7'!I169</f>
        <v>0</v>
      </c>
    </row>
    <row r="163" spans="1:8" ht="45" customHeight="1">
      <c r="A163" s="196" t="s">
        <v>615</v>
      </c>
      <c r="B163" s="80" t="s">
        <v>109</v>
      </c>
      <c r="C163" s="80" t="s">
        <v>172</v>
      </c>
      <c r="D163" s="83">
        <v>4100600000</v>
      </c>
      <c r="E163" s="83"/>
      <c r="F163" s="246">
        <f>'прил.7'!G170</f>
        <v>280.7999999999997</v>
      </c>
      <c r="G163" s="246">
        <f>'прил.7'!H170</f>
        <v>7063.1</v>
      </c>
      <c r="H163" s="246">
        <f>'прил.7'!I170</f>
        <v>0</v>
      </c>
    </row>
    <row r="164" spans="1:8" ht="21" customHeight="1">
      <c r="A164" s="60" t="s">
        <v>201</v>
      </c>
      <c r="B164" s="80" t="s">
        <v>109</v>
      </c>
      <c r="C164" s="80" t="s">
        <v>172</v>
      </c>
      <c r="D164" s="214">
        <v>4100623090</v>
      </c>
      <c r="E164" s="83"/>
      <c r="F164" s="246">
        <f>'прил.7'!G171</f>
        <v>280.7999999999997</v>
      </c>
      <c r="G164" s="246">
        <f>'прил.7'!H171</f>
        <v>7063.1</v>
      </c>
      <c r="H164" s="246">
        <f>'прил.7'!I171</f>
        <v>0</v>
      </c>
    </row>
    <row r="165" spans="1:8" ht="48" customHeight="1">
      <c r="A165" s="133" t="s">
        <v>575</v>
      </c>
      <c r="B165" s="80" t="s">
        <v>109</v>
      </c>
      <c r="C165" s="80" t="s">
        <v>172</v>
      </c>
      <c r="D165" s="214">
        <v>4100623090</v>
      </c>
      <c r="E165" s="83">
        <v>240</v>
      </c>
      <c r="F165" s="246">
        <f>'прил.7'!G172</f>
        <v>280.7999999999997</v>
      </c>
      <c r="G165" s="246">
        <f>'прил.7'!H172</f>
        <v>0</v>
      </c>
      <c r="H165" s="246">
        <f>'прил.7'!I172</f>
        <v>0</v>
      </c>
    </row>
    <row r="166" spans="1:8" ht="21" customHeight="1">
      <c r="A166" s="297" t="s">
        <v>580</v>
      </c>
      <c r="B166" s="80" t="s">
        <v>109</v>
      </c>
      <c r="C166" s="80" t="s">
        <v>172</v>
      </c>
      <c r="D166" s="214">
        <v>4100623090</v>
      </c>
      <c r="E166" s="83">
        <v>410</v>
      </c>
      <c r="F166" s="246">
        <f>'прил.7'!G173</f>
        <v>0</v>
      </c>
      <c r="G166" s="246">
        <f>'прил.7'!H173</f>
        <v>7063.1</v>
      </c>
      <c r="H166" s="246">
        <f>'прил.7'!I173</f>
        <v>0</v>
      </c>
    </row>
    <row r="167" spans="1:8" ht="33" customHeight="1">
      <c r="A167" s="89" t="s">
        <v>522</v>
      </c>
      <c r="B167" s="80" t="s">
        <v>109</v>
      </c>
      <c r="C167" s="80" t="s">
        <v>172</v>
      </c>
      <c r="D167" s="83" t="s">
        <v>559</v>
      </c>
      <c r="E167" s="95"/>
      <c r="F167" s="246">
        <f>'прил.7'!G174</f>
        <v>41768.5</v>
      </c>
      <c r="G167" s="246">
        <f>'прил.7'!H174</f>
        <v>12372.3</v>
      </c>
      <c r="H167" s="246">
        <f>'прил.7'!I174</f>
        <v>0</v>
      </c>
    </row>
    <row r="168" spans="1:8" ht="48" customHeight="1">
      <c r="A168" s="89" t="s">
        <v>523</v>
      </c>
      <c r="B168" s="80" t="s">
        <v>109</v>
      </c>
      <c r="C168" s="80" t="s">
        <v>172</v>
      </c>
      <c r="D168" s="83" t="s">
        <v>560</v>
      </c>
      <c r="E168" s="95"/>
      <c r="F168" s="246">
        <f>'прил.7'!G175</f>
        <v>41723.5</v>
      </c>
      <c r="G168" s="246">
        <f>'прил.7'!H175</f>
        <v>3624.7999999999993</v>
      </c>
      <c r="H168" s="246">
        <f>'прил.7'!I175</f>
        <v>0</v>
      </c>
    </row>
    <row r="169" spans="1:8" ht="45" customHeight="1">
      <c r="A169" s="302" t="s">
        <v>575</v>
      </c>
      <c r="B169" s="80" t="s">
        <v>109</v>
      </c>
      <c r="C169" s="80" t="s">
        <v>172</v>
      </c>
      <c r="D169" s="83" t="s">
        <v>560</v>
      </c>
      <c r="E169" s="95">
        <v>240</v>
      </c>
      <c r="F169" s="246">
        <f>'прил.7'!G176</f>
        <v>21</v>
      </c>
      <c r="G169" s="246">
        <f>'прил.7'!H176</f>
        <v>0</v>
      </c>
      <c r="H169" s="246">
        <f>'прил.7'!I176</f>
        <v>0</v>
      </c>
    </row>
    <row r="170" spans="1:8" ht="18" customHeight="1">
      <c r="A170" s="297" t="s">
        <v>580</v>
      </c>
      <c r="B170" s="80" t="s">
        <v>109</v>
      </c>
      <c r="C170" s="80" t="s">
        <v>172</v>
      </c>
      <c r="D170" s="83" t="s">
        <v>560</v>
      </c>
      <c r="E170" s="95">
        <v>410</v>
      </c>
      <c r="F170" s="246">
        <f>'прил.7'!G177</f>
        <v>41702.5</v>
      </c>
      <c r="G170" s="246">
        <f>'прил.7'!H177</f>
        <v>3624.7999999999993</v>
      </c>
      <c r="H170" s="246">
        <f>'прил.7'!I177</f>
        <v>0</v>
      </c>
    </row>
    <row r="171" spans="1:8" ht="33" customHeight="1">
      <c r="A171" s="133" t="s">
        <v>643</v>
      </c>
      <c r="B171" s="134" t="s">
        <v>109</v>
      </c>
      <c r="C171" s="134" t="s">
        <v>172</v>
      </c>
      <c r="D171" s="95">
        <v>4100552430</v>
      </c>
      <c r="E171" s="95"/>
      <c r="F171" s="246">
        <f>'прил.7'!G178</f>
        <v>45</v>
      </c>
      <c r="G171" s="246">
        <f>'прил.7'!H178</f>
        <v>8747.5</v>
      </c>
      <c r="H171" s="246">
        <f>'прил.7'!I178</f>
        <v>0</v>
      </c>
    </row>
    <row r="172" spans="1:8" ht="36" customHeight="1">
      <c r="A172" s="302" t="s">
        <v>575</v>
      </c>
      <c r="B172" s="80" t="s">
        <v>109</v>
      </c>
      <c r="C172" s="80" t="s">
        <v>172</v>
      </c>
      <c r="D172" s="83">
        <v>4100552430</v>
      </c>
      <c r="E172" s="95">
        <v>240</v>
      </c>
      <c r="F172" s="246">
        <f>'прил.7'!G179</f>
        <v>45</v>
      </c>
      <c r="G172" s="246">
        <f>'прил.7'!H179</f>
        <v>8747.5</v>
      </c>
      <c r="H172" s="246">
        <f>'прил.7'!I179</f>
        <v>0</v>
      </c>
    </row>
    <row r="173" spans="1:8" ht="36" customHeight="1" hidden="1">
      <c r="A173" s="60" t="s">
        <v>387</v>
      </c>
      <c r="B173" s="80" t="s">
        <v>109</v>
      </c>
      <c r="C173" s="80" t="s">
        <v>172</v>
      </c>
      <c r="D173" s="83">
        <v>9100022270</v>
      </c>
      <c r="E173" s="95"/>
      <c r="F173" s="246">
        <f>'прил.7'!G180</f>
        <v>0</v>
      </c>
      <c r="G173" s="246">
        <f>'прил.7'!H180</f>
        <v>0</v>
      </c>
      <c r="H173" s="246">
        <f>'прил.7'!I180</f>
        <v>0</v>
      </c>
    </row>
    <row r="174" spans="1:8" ht="45.75" customHeight="1" hidden="1">
      <c r="A174" s="133" t="s">
        <v>575</v>
      </c>
      <c r="B174" s="80" t="s">
        <v>109</v>
      </c>
      <c r="C174" s="80" t="s">
        <v>172</v>
      </c>
      <c r="D174" s="83">
        <v>9100022270</v>
      </c>
      <c r="E174" s="95">
        <v>240</v>
      </c>
      <c r="F174" s="246">
        <f>'прил.7'!G181</f>
        <v>0</v>
      </c>
      <c r="G174" s="246">
        <f>'прил.7'!H181</f>
        <v>0</v>
      </c>
      <c r="H174" s="246">
        <f>'прил.7'!I181</f>
        <v>0</v>
      </c>
    </row>
    <row r="175" spans="1:8" ht="18" customHeight="1">
      <c r="A175" s="60" t="s">
        <v>201</v>
      </c>
      <c r="B175" s="87" t="s">
        <v>109</v>
      </c>
      <c r="C175" s="80" t="s">
        <v>172</v>
      </c>
      <c r="D175" s="61">
        <v>9100023090</v>
      </c>
      <c r="E175" s="61"/>
      <c r="F175" s="246">
        <f>'прил.7'!G182</f>
        <v>2470.9</v>
      </c>
      <c r="G175" s="246">
        <f>'прил.7'!H182</f>
        <v>818.0999999999999</v>
      </c>
      <c r="H175" s="246">
        <f>'прил.7'!I182</f>
        <v>7400</v>
      </c>
    </row>
    <row r="176" spans="1:8" ht="47.25" customHeight="1">
      <c r="A176" s="302" t="s">
        <v>575</v>
      </c>
      <c r="B176" s="87" t="s">
        <v>109</v>
      </c>
      <c r="C176" s="80" t="s">
        <v>172</v>
      </c>
      <c r="D176" s="61">
        <v>9100023090</v>
      </c>
      <c r="E176" s="61">
        <v>240</v>
      </c>
      <c r="F176" s="246">
        <f>'прил.7'!G183</f>
        <v>2470.9</v>
      </c>
      <c r="G176" s="246">
        <f>'прил.7'!H183</f>
        <v>818.0999999999999</v>
      </c>
      <c r="H176" s="246">
        <f>'прил.7'!I183</f>
        <v>5000</v>
      </c>
    </row>
    <row r="177" spans="1:8" ht="81.75" customHeight="1">
      <c r="A177" s="302" t="s">
        <v>578</v>
      </c>
      <c r="B177" s="87" t="s">
        <v>109</v>
      </c>
      <c r="C177" s="80" t="s">
        <v>172</v>
      </c>
      <c r="D177" s="83">
        <v>9100023090</v>
      </c>
      <c r="E177" s="61">
        <v>810</v>
      </c>
      <c r="F177" s="246">
        <f>'прил.7'!G184</f>
        <v>0</v>
      </c>
      <c r="G177" s="246">
        <f>'прил.7'!H184</f>
        <v>0</v>
      </c>
      <c r="H177" s="246">
        <f>'прил.7'!I184</f>
        <v>2400</v>
      </c>
    </row>
    <row r="178" spans="1:8" ht="32.25" customHeight="1">
      <c r="A178" s="60" t="s">
        <v>387</v>
      </c>
      <c r="B178" s="80" t="s">
        <v>109</v>
      </c>
      <c r="C178" s="80" t="s">
        <v>173</v>
      </c>
      <c r="D178" s="83" t="s">
        <v>272</v>
      </c>
      <c r="E178" s="95"/>
      <c r="F178" s="246">
        <f>'прил.7'!G185</f>
        <v>1295</v>
      </c>
      <c r="G178" s="246">
        <f>'прил.7'!H185</f>
        <v>0</v>
      </c>
      <c r="H178" s="246">
        <f>'прил.7'!I185</f>
        <v>0</v>
      </c>
    </row>
    <row r="179" spans="1:8" ht="42" customHeight="1">
      <c r="A179" s="304" t="s">
        <v>575</v>
      </c>
      <c r="B179" s="80" t="s">
        <v>109</v>
      </c>
      <c r="C179" s="80" t="s">
        <v>173</v>
      </c>
      <c r="D179" s="83" t="s">
        <v>272</v>
      </c>
      <c r="E179" s="95">
        <v>240</v>
      </c>
      <c r="F179" s="246">
        <f>'прил.7'!G186</f>
        <v>1295</v>
      </c>
      <c r="G179" s="246">
        <f>'прил.7'!H186</f>
        <v>0</v>
      </c>
      <c r="H179" s="246">
        <f>'прил.7'!I186</f>
        <v>0</v>
      </c>
    </row>
    <row r="180" spans="1:8" ht="15.75">
      <c r="A180" s="74" t="s">
        <v>158</v>
      </c>
      <c r="B180" s="79" t="s">
        <v>109</v>
      </c>
      <c r="C180" s="79" t="s">
        <v>173</v>
      </c>
      <c r="D180" s="58"/>
      <c r="E180" s="58"/>
      <c r="F180" s="291">
        <f>'прил.7'!G187</f>
        <v>81624.50000000001</v>
      </c>
      <c r="G180" s="291">
        <f>'прил.7'!H187</f>
        <v>6505.5</v>
      </c>
      <c r="H180" s="291">
        <f>'прил.7'!I187</f>
        <v>12105.5</v>
      </c>
    </row>
    <row r="181" spans="1:8" ht="31.5" hidden="1">
      <c r="A181" s="60" t="s">
        <v>198</v>
      </c>
      <c r="B181" s="87" t="s">
        <v>109</v>
      </c>
      <c r="C181" s="87" t="s">
        <v>173</v>
      </c>
      <c r="D181" s="61"/>
      <c r="E181" s="61"/>
      <c r="F181" s="246">
        <f>'прил.7'!G205</f>
        <v>7886.400000000001</v>
      </c>
      <c r="G181" s="246">
        <f>'прил.7'!H205</f>
        <v>0</v>
      </c>
      <c r="H181" s="246">
        <f>'прил.7'!I205</f>
        <v>0</v>
      </c>
    </row>
    <row r="182" spans="1:8" ht="15.75" hidden="1">
      <c r="A182" s="60" t="s">
        <v>158</v>
      </c>
      <c r="B182" s="87" t="s">
        <v>109</v>
      </c>
      <c r="C182" s="87" t="s">
        <v>173</v>
      </c>
      <c r="D182" s="61"/>
      <c r="E182" s="61"/>
      <c r="F182" s="246">
        <f>'прил.7'!G206</f>
        <v>2346.1</v>
      </c>
      <c r="G182" s="246">
        <f>'прил.7'!H206</f>
        <v>0</v>
      </c>
      <c r="H182" s="246">
        <f>'прил.7'!I206</f>
        <v>0</v>
      </c>
    </row>
    <row r="183" spans="1:8" ht="78.75">
      <c r="A183" s="219" t="s">
        <v>553</v>
      </c>
      <c r="B183" s="80" t="s">
        <v>109</v>
      </c>
      <c r="C183" s="80" t="s">
        <v>173</v>
      </c>
      <c r="D183" s="83">
        <v>2500000000</v>
      </c>
      <c r="E183" s="95"/>
      <c r="F183" s="246">
        <f>'прил.7'!G188</f>
        <v>68815.40000000001</v>
      </c>
      <c r="G183" s="246">
        <f>'прил.7'!H188</f>
        <v>3938.8</v>
      </c>
      <c r="H183" s="246">
        <f>'прил.7'!I188</f>
        <v>3938.8</v>
      </c>
    </row>
    <row r="184" spans="1:8" ht="47.25" customHeight="1">
      <c r="A184" s="221" t="s">
        <v>524</v>
      </c>
      <c r="B184" s="80" t="s">
        <v>109</v>
      </c>
      <c r="C184" s="80" t="s">
        <v>173</v>
      </c>
      <c r="D184" s="83" t="s">
        <v>393</v>
      </c>
      <c r="E184" s="95"/>
      <c r="F184" s="246">
        <f>'прил.7'!G189</f>
        <v>56476</v>
      </c>
      <c r="G184" s="246">
        <f>'прил.7'!H189</f>
        <v>3838.8</v>
      </c>
      <c r="H184" s="246">
        <f>'прил.7'!I189</f>
        <v>3838.8</v>
      </c>
    </row>
    <row r="185" spans="1:8" ht="96" customHeight="1">
      <c r="A185" s="283" t="s">
        <v>525</v>
      </c>
      <c r="B185" s="80" t="s">
        <v>109</v>
      </c>
      <c r="C185" s="80" t="s">
        <v>173</v>
      </c>
      <c r="D185" s="83" t="s">
        <v>521</v>
      </c>
      <c r="E185" s="95"/>
      <c r="F185" s="246">
        <f>'прил.7'!G190</f>
        <v>50000</v>
      </c>
      <c r="G185" s="246">
        <f>'прил.7'!H190</f>
        <v>0</v>
      </c>
      <c r="H185" s="246">
        <f>'прил.7'!I190</f>
        <v>0</v>
      </c>
    </row>
    <row r="186" spans="1:8" ht="48" customHeight="1">
      <c r="A186" s="133" t="s">
        <v>575</v>
      </c>
      <c r="B186" s="80" t="s">
        <v>109</v>
      </c>
      <c r="C186" s="80" t="s">
        <v>173</v>
      </c>
      <c r="D186" s="83" t="s">
        <v>521</v>
      </c>
      <c r="E186" s="95">
        <v>240</v>
      </c>
      <c r="F186" s="246">
        <f>'прил.7'!G191</f>
        <v>50000</v>
      </c>
      <c r="G186" s="246">
        <f>'прил.7'!H191</f>
        <v>0</v>
      </c>
      <c r="H186" s="246">
        <f>'прил.7'!I191</f>
        <v>0</v>
      </c>
    </row>
    <row r="187" spans="1:8" ht="36" customHeight="1">
      <c r="A187" s="220" t="s">
        <v>301</v>
      </c>
      <c r="B187" s="80" t="s">
        <v>109</v>
      </c>
      <c r="C187" s="80" t="s">
        <v>173</v>
      </c>
      <c r="D187" s="83" t="s">
        <v>394</v>
      </c>
      <c r="E187" s="95"/>
      <c r="F187" s="246">
        <f>'прил.7'!G192</f>
        <v>5364.9</v>
      </c>
      <c r="G187" s="246">
        <f>'прил.7'!H192</f>
        <v>3838.8</v>
      </c>
      <c r="H187" s="246">
        <f>'прил.7'!I192</f>
        <v>3838.8</v>
      </c>
    </row>
    <row r="188" spans="1:8" ht="45" customHeight="1">
      <c r="A188" s="133" t="s">
        <v>575</v>
      </c>
      <c r="B188" s="80" t="s">
        <v>109</v>
      </c>
      <c r="C188" s="80" t="s">
        <v>173</v>
      </c>
      <c r="D188" s="83" t="s">
        <v>394</v>
      </c>
      <c r="E188" s="95">
        <v>240</v>
      </c>
      <c r="F188" s="246">
        <f>'прил.7'!G193</f>
        <v>5364.9</v>
      </c>
      <c r="G188" s="246">
        <f>'прил.7'!H193</f>
        <v>3838.8</v>
      </c>
      <c r="H188" s="246">
        <f>'прил.7'!I193</f>
        <v>3838.8</v>
      </c>
    </row>
    <row r="189" spans="1:8" ht="31.5" customHeight="1">
      <c r="A189" s="133" t="s">
        <v>609</v>
      </c>
      <c r="B189" s="80" t="s">
        <v>109</v>
      </c>
      <c r="C189" s="80" t="s">
        <v>173</v>
      </c>
      <c r="D189" s="83" t="s">
        <v>607</v>
      </c>
      <c r="E189" s="95"/>
      <c r="F189" s="246">
        <f>'прил.7'!G194</f>
        <v>1111.1</v>
      </c>
      <c r="G189" s="246">
        <f>'прил.7'!H194</f>
        <v>0</v>
      </c>
      <c r="H189" s="246">
        <f>'прил.7'!I194</f>
        <v>0</v>
      </c>
    </row>
    <row r="190" spans="1:8" ht="45" customHeight="1">
      <c r="A190" s="133" t="s">
        <v>575</v>
      </c>
      <c r="B190" s="80" t="s">
        <v>109</v>
      </c>
      <c r="C190" s="80" t="s">
        <v>173</v>
      </c>
      <c r="D190" s="83" t="s">
        <v>607</v>
      </c>
      <c r="E190" s="95">
        <v>240</v>
      </c>
      <c r="F190" s="246">
        <f>'прил.7'!G195</f>
        <v>1111.1</v>
      </c>
      <c r="G190" s="246">
        <f>'прил.7'!H195</f>
        <v>0</v>
      </c>
      <c r="H190" s="246">
        <f>'прил.7'!I195</f>
        <v>0</v>
      </c>
    </row>
    <row r="191" spans="1:8" ht="78.75" customHeight="1">
      <c r="A191" s="133" t="s">
        <v>610</v>
      </c>
      <c r="B191" s="80" t="s">
        <v>109</v>
      </c>
      <c r="C191" s="80" t="s">
        <v>173</v>
      </c>
      <c r="D191" s="83" t="s">
        <v>608</v>
      </c>
      <c r="E191" s="95"/>
      <c r="F191" s="246">
        <f>'прил.7'!G196</f>
        <v>3.694822225952521E-13</v>
      </c>
      <c r="G191" s="246">
        <f>'прил.7'!H196</f>
        <v>0</v>
      </c>
      <c r="H191" s="246">
        <f>'прил.7'!I196</f>
        <v>0</v>
      </c>
    </row>
    <row r="192" spans="1:8" ht="45" customHeight="1">
      <c r="A192" s="133" t="s">
        <v>575</v>
      </c>
      <c r="B192" s="80" t="s">
        <v>109</v>
      </c>
      <c r="C192" s="80" t="s">
        <v>173</v>
      </c>
      <c r="D192" s="83" t="s">
        <v>608</v>
      </c>
      <c r="E192" s="95">
        <v>240</v>
      </c>
      <c r="F192" s="246">
        <f>'прил.7'!G197</f>
        <v>3.694822225952521E-13</v>
      </c>
      <c r="G192" s="246">
        <f>'прил.7'!H197</f>
        <v>0</v>
      </c>
      <c r="H192" s="246">
        <f>'прил.7'!I197</f>
        <v>0</v>
      </c>
    </row>
    <row r="193" spans="1:8" ht="36.75" customHeight="1">
      <c r="A193" s="60" t="s">
        <v>647</v>
      </c>
      <c r="B193" s="80" t="s">
        <v>109</v>
      </c>
      <c r="C193" s="80" t="s">
        <v>173</v>
      </c>
      <c r="D193" s="83">
        <v>2500400000</v>
      </c>
      <c r="E193" s="95"/>
      <c r="F193" s="246">
        <f>'прил.7'!G198</f>
        <v>2106.9</v>
      </c>
      <c r="G193" s="246">
        <f>'прил.7'!H198</f>
        <v>100</v>
      </c>
      <c r="H193" s="246">
        <f>'прил.7'!I198</f>
        <v>100</v>
      </c>
    </row>
    <row r="194" spans="1:8" ht="33" customHeight="1">
      <c r="A194" s="60" t="s">
        <v>363</v>
      </c>
      <c r="B194" s="80" t="s">
        <v>109</v>
      </c>
      <c r="C194" s="80" t="s">
        <v>173</v>
      </c>
      <c r="D194" s="83">
        <v>2500400190</v>
      </c>
      <c r="E194" s="95"/>
      <c r="F194" s="246">
        <f>'прил.7'!G199</f>
        <v>42</v>
      </c>
      <c r="G194" s="246">
        <f>'прил.7'!H199</f>
        <v>100</v>
      </c>
      <c r="H194" s="246">
        <f>'прил.7'!I199</f>
        <v>100</v>
      </c>
    </row>
    <row r="195" spans="1:8" ht="51.75" customHeight="1">
      <c r="A195" s="133" t="s">
        <v>575</v>
      </c>
      <c r="B195" s="80" t="s">
        <v>109</v>
      </c>
      <c r="C195" s="80" t="s">
        <v>173</v>
      </c>
      <c r="D195" s="83">
        <v>2500400190</v>
      </c>
      <c r="E195" s="95">
        <v>240</v>
      </c>
      <c r="F195" s="246">
        <f>'прил.7'!G200</f>
        <v>42</v>
      </c>
      <c r="G195" s="246">
        <f>'прил.7'!H200</f>
        <v>100</v>
      </c>
      <c r="H195" s="246">
        <f>'прил.7'!I200</f>
        <v>100</v>
      </c>
    </row>
    <row r="196" spans="1:8" ht="36" customHeight="1">
      <c r="A196" s="315" t="s">
        <v>646</v>
      </c>
      <c r="B196" s="80" t="s">
        <v>109</v>
      </c>
      <c r="C196" s="80" t="s">
        <v>173</v>
      </c>
      <c r="D196" s="83">
        <v>2500425551</v>
      </c>
      <c r="E196" s="95"/>
      <c r="F196" s="246">
        <f>'прил.7'!G201</f>
        <v>2064.9</v>
      </c>
      <c r="G196" s="246">
        <f>'прил.7'!H201</f>
        <v>0</v>
      </c>
      <c r="H196" s="246">
        <f>'прил.7'!I201</f>
        <v>0</v>
      </c>
    </row>
    <row r="197" spans="1:8" ht="51.75" customHeight="1">
      <c r="A197" s="133" t="s">
        <v>575</v>
      </c>
      <c r="B197" s="80" t="s">
        <v>109</v>
      </c>
      <c r="C197" s="80" t="s">
        <v>173</v>
      </c>
      <c r="D197" s="83">
        <v>2500425551</v>
      </c>
      <c r="E197" s="95">
        <v>240</v>
      </c>
      <c r="F197" s="246">
        <f>'прил.7'!G202</f>
        <v>2064.9</v>
      </c>
      <c r="G197" s="246">
        <f>'прил.7'!H202</f>
        <v>0</v>
      </c>
      <c r="H197" s="246">
        <f>'прил.7'!I202</f>
        <v>0</v>
      </c>
    </row>
    <row r="198" spans="1:8" ht="33" customHeight="1">
      <c r="A198" s="131" t="s">
        <v>635</v>
      </c>
      <c r="B198" s="80" t="s">
        <v>109</v>
      </c>
      <c r="C198" s="80" t="s">
        <v>173</v>
      </c>
      <c r="D198" s="83">
        <v>2500700000</v>
      </c>
      <c r="E198" s="95"/>
      <c r="F198" s="246">
        <f>'прил.7'!G203</f>
        <v>7886.400000000001</v>
      </c>
      <c r="G198" s="246">
        <f>'прил.7'!H203</f>
        <v>0</v>
      </c>
      <c r="H198" s="246">
        <f>'прил.7'!I203</f>
        <v>0</v>
      </c>
    </row>
    <row r="199" spans="1:8" ht="33.75" customHeight="1">
      <c r="A199" s="60" t="s">
        <v>374</v>
      </c>
      <c r="B199" s="80" t="s">
        <v>109</v>
      </c>
      <c r="C199" s="80" t="s">
        <v>173</v>
      </c>
      <c r="D199" s="83">
        <v>2500723050</v>
      </c>
      <c r="E199" s="95"/>
      <c r="F199" s="246">
        <f>'прил.7'!G204</f>
        <v>7886.400000000001</v>
      </c>
      <c r="G199" s="246">
        <f>'прил.7'!H204</f>
        <v>0</v>
      </c>
      <c r="H199" s="246">
        <f>'прил.7'!I204</f>
        <v>0</v>
      </c>
    </row>
    <row r="200" spans="1:8" ht="33" customHeight="1">
      <c r="A200" s="133" t="s">
        <v>575</v>
      </c>
      <c r="B200" s="80" t="s">
        <v>109</v>
      </c>
      <c r="C200" s="80" t="s">
        <v>173</v>
      </c>
      <c r="D200" s="83">
        <v>2500723050</v>
      </c>
      <c r="E200" s="95">
        <v>240</v>
      </c>
      <c r="F200" s="246">
        <f>'прил.7'!G205</f>
        <v>7886.400000000001</v>
      </c>
      <c r="G200" s="246">
        <f>'прил.7'!H205</f>
        <v>0</v>
      </c>
      <c r="H200" s="246">
        <f>'прил.7'!I205</f>
        <v>0</v>
      </c>
    </row>
    <row r="201" spans="1:8" ht="35.25" customHeight="1">
      <c r="A201" s="60" t="s">
        <v>636</v>
      </c>
      <c r="B201" s="80" t="s">
        <v>109</v>
      </c>
      <c r="C201" s="80" t="s">
        <v>173</v>
      </c>
      <c r="D201" s="83">
        <v>2500800000</v>
      </c>
      <c r="E201" s="95"/>
      <c r="F201" s="246">
        <f>'прил.7'!G206</f>
        <v>2346.1</v>
      </c>
      <c r="G201" s="246">
        <f>'прил.7'!H206</f>
        <v>0</v>
      </c>
      <c r="H201" s="246">
        <f>'прил.7'!I206</f>
        <v>0</v>
      </c>
    </row>
    <row r="202" spans="1:8" ht="30.75" customHeight="1">
      <c r="A202" s="131" t="s">
        <v>624</v>
      </c>
      <c r="B202" s="80" t="s">
        <v>109</v>
      </c>
      <c r="C202" s="80" t="s">
        <v>173</v>
      </c>
      <c r="D202" s="83">
        <v>2500821780</v>
      </c>
      <c r="E202" s="95"/>
      <c r="F202" s="246">
        <f>'прил.7'!G207</f>
        <v>387.29999999999995</v>
      </c>
      <c r="G202" s="246">
        <f>'прил.7'!H207</f>
        <v>0</v>
      </c>
      <c r="H202" s="246">
        <f>'прил.7'!I207</f>
        <v>0</v>
      </c>
    </row>
    <row r="203" spans="1:8" ht="32.25" customHeight="1">
      <c r="A203" s="133" t="s">
        <v>575</v>
      </c>
      <c r="B203" s="80" t="s">
        <v>109</v>
      </c>
      <c r="C203" s="80" t="s">
        <v>173</v>
      </c>
      <c r="D203" s="83">
        <v>2500821780</v>
      </c>
      <c r="E203" s="95">
        <v>240</v>
      </c>
      <c r="F203" s="246">
        <f>'прил.7'!G208</f>
        <v>387.29999999999995</v>
      </c>
      <c r="G203" s="246">
        <f>'прил.7'!H208</f>
        <v>0</v>
      </c>
      <c r="H203" s="246">
        <f>'прил.7'!I208</f>
        <v>0</v>
      </c>
    </row>
    <row r="204" spans="1:8" ht="28.5" customHeight="1">
      <c r="A204" s="131" t="s">
        <v>625</v>
      </c>
      <c r="B204" s="80" t="s">
        <v>109</v>
      </c>
      <c r="C204" s="80" t="s">
        <v>173</v>
      </c>
      <c r="D204" s="83" t="s">
        <v>634</v>
      </c>
      <c r="E204" s="95"/>
      <c r="F204" s="246">
        <f>'прил.7'!G209</f>
        <v>1958.8</v>
      </c>
      <c r="G204" s="246">
        <f>'прил.7'!H209</f>
        <v>0</v>
      </c>
      <c r="H204" s="246">
        <f>'прил.7'!I209</f>
        <v>0</v>
      </c>
    </row>
    <row r="205" spans="1:8" ht="53.25" customHeight="1">
      <c r="A205" s="133" t="s">
        <v>575</v>
      </c>
      <c r="B205" s="80" t="s">
        <v>109</v>
      </c>
      <c r="C205" s="80" t="s">
        <v>173</v>
      </c>
      <c r="D205" s="83" t="s">
        <v>634</v>
      </c>
      <c r="E205" s="95">
        <v>240</v>
      </c>
      <c r="F205" s="246">
        <f>'прил.7'!G210</f>
        <v>1958.8</v>
      </c>
      <c r="G205" s="246">
        <f>'прил.7'!H210</f>
        <v>0</v>
      </c>
      <c r="H205" s="246">
        <f>'прил.7'!I210</f>
        <v>0</v>
      </c>
    </row>
    <row r="206" spans="1:8" ht="33.75" customHeight="1">
      <c r="A206" s="60" t="s">
        <v>387</v>
      </c>
      <c r="B206" s="80" t="s">
        <v>109</v>
      </c>
      <c r="C206" s="80" t="s">
        <v>173</v>
      </c>
      <c r="D206" s="83">
        <v>9100022270</v>
      </c>
      <c r="E206" s="95"/>
      <c r="F206" s="246">
        <f>'прил.7'!G211</f>
        <v>271.5</v>
      </c>
      <c r="G206" s="246">
        <f>'прил.7'!H211</f>
        <v>0</v>
      </c>
      <c r="H206" s="246">
        <f>'прил.7'!I211</f>
        <v>0</v>
      </c>
    </row>
    <row r="207" spans="1:8" ht="53.25" customHeight="1">
      <c r="A207" s="133" t="s">
        <v>575</v>
      </c>
      <c r="B207" s="80" t="s">
        <v>109</v>
      </c>
      <c r="C207" s="80" t="s">
        <v>173</v>
      </c>
      <c r="D207" s="83">
        <v>9100022270</v>
      </c>
      <c r="E207" s="95">
        <v>240</v>
      </c>
      <c r="F207" s="246">
        <f>'прил.7'!G212</f>
        <v>271.5</v>
      </c>
      <c r="G207" s="246">
        <f>'прил.7'!H212</f>
        <v>0</v>
      </c>
      <c r="H207" s="246">
        <f>'прил.7'!I212</f>
        <v>0</v>
      </c>
    </row>
    <row r="208" spans="1:8" ht="15.75">
      <c r="A208" s="46" t="s">
        <v>215</v>
      </c>
      <c r="B208" s="87" t="s">
        <v>109</v>
      </c>
      <c r="C208" s="87" t="s">
        <v>173</v>
      </c>
      <c r="D208" s="61">
        <v>9100023020</v>
      </c>
      <c r="E208" s="61"/>
      <c r="F208" s="246">
        <f>'прил.7'!G213</f>
        <v>283.8</v>
      </c>
      <c r="G208" s="246">
        <f>'прил.7'!H213</f>
        <v>0</v>
      </c>
      <c r="H208" s="246">
        <f>'прил.7'!I213</f>
        <v>0</v>
      </c>
    </row>
    <row r="209" spans="1:8" ht="47.25">
      <c r="A209" s="133" t="s">
        <v>575</v>
      </c>
      <c r="B209" s="87" t="s">
        <v>109</v>
      </c>
      <c r="C209" s="87" t="s">
        <v>173</v>
      </c>
      <c r="D209" s="61">
        <v>9100023020</v>
      </c>
      <c r="E209" s="61">
        <v>240</v>
      </c>
      <c r="F209" s="246">
        <f>'прил.7'!G214</f>
        <v>261.3</v>
      </c>
      <c r="G209" s="246">
        <f>'прил.7'!H214</f>
        <v>0</v>
      </c>
      <c r="H209" s="246">
        <f>'прил.7'!I214</f>
        <v>0</v>
      </c>
    </row>
    <row r="210" spans="1:8" ht="47.25" customHeight="1" hidden="1">
      <c r="A210" s="60" t="s">
        <v>357</v>
      </c>
      <c r="B210" s="87" t="s">
        <v>109</v>
      </c>
      <c r="C210" s="87" t="s">
        <v>173</v>
      </c>
      <c r="D210" s="61">
        <v>9100023020</v>
      </c>
      <c r="E210" s="61">
        <v>831</v>
      </c>
      <c r="F210" s="246"/>
      <c r="G210" s="246"/>
      <c r="H210" s="246"/>
    </row>
    <row r="211" spans="1:8" ht="24" customHeight="1">
      <c r="A211" s="133" t="s">
        <v>579</v>
      </c>
      <c r="B211" s="87" t="s">
        <v>109</v>
      </c>
      <c r="C211" s="87" t="s">
        <v>173</v>
      </c>
      <c r="D211" s="61">
        <v>9100023020</v>
      </c>
      <c r="E211" s="61">
        <v>850</v>
      </c>
      <c r="F211" s="246">
        <f>'прил.7'!G216</f>
        <v>22.5</v>
      </c>
      <c r="G211" s="246">
        <f>'прил.7'!H216</f>
        <v>0</v>
      </c>
      <c r="H211" s="246">
        <f>'прил.7'!I216</f>
        <v>0</v>
      </c>
    </row>
    <row r="212" spans="1:8" ht="18" customHeight="1" hidden="1">
      <c r="A212" s="46" t="s">
        <v>215</v>
      </c>
      <c r="B212" s="87" t="s">
        <v>109</v>
      </c>
      <c r="C212" s="87" t="s">
        <v>173</v>
      </c>
      <c r="D212" s="61">
        <v>9100071090</v>
      </c>
      <c r="E212" s="61"/>
      <c r="F212" s="246">
        <f>'прил.7'!G217</f>
        <v>0</v>
      </c>
      <c r="G212" s="246">
        <f>'прил.7'!H217</f>
        <v>0</v>
      </c>
      <c r="H212" s="246">
        <f>'прил.7'!I217</f>
        <v>0</v>
      </c>
    </row>
    <row r="213" spans="1:8" ht="31.5" hidden="1">
      <c r="A213" s="60" t="s">
        <v>87</v>
      </c>
      <c r="B213" s="87" t="s">
        <v>109</v>
      </c>
      <c r="C213" s="87" t="s">
        <v>173</v>
      </c>
      <c r="D213" s="61">
        <v>9100071090</v>
      </c>
      <c r="E213" s="61">
        <v>612</v>
      </c>
      <c r="F213" s="246">
        <f>'прил.7'!G218</f>
        <v>0</v>
      </c>
      <c r="G213" s="246">
        <f>'прил.7'!H218</f>
        <v>0</v>
      </c>
      <c r="H213" s="246">
        <f>'прил.7'!I218</f>
        <v>0</v>
      </c>
    </row>
    <row r="214" spans="1:8" ht="33" customHeight="1">
      <c r="A214" s="60" t="s">
        <v>374</v>
      </c>
      <c r="B214" s="87" t="s">
        <v>109</v>
      </c>
      <c r="C214" s="87" t="s">
        <v>173</v>
      </c>
      <c r="D214" s="61">
        <v>9100023050</v>
      </c>
      <c r="E214" s="61"/>
      <c r="F214" s="246">
        <f>'прил.7'!G219</f>
        <v>274.9</v>
      </c>
      <c r="G214" s="246">
        <f>'прил.7'!H219</f>
        <v>700</v>
      </c>
      <c r="H214" s="246">
        <f>'прил.7'!I219</f>
        <v>700</v>
      </c>
    </row>
    <row r="215" spans="1:8" ht="46.5" customHeight="1">
      <c r="A215" s="133" t="s">
        <v>575</v>
      </c>
      <c r="B215" s="87" t="s">
        <v>109</v>
      </c>
      <c r="C215" s="87" t="s">
        <v>173</v>
      </c>
      <c r="D215" s="61">
        <v>9100023050</v>
      </c>
      <c r="E215" s="95">
        <v>240</v>
      </c>
      <c r="F215" s="266">
        <f>'прил.7'!G220</f>
        <v>200</v>
      </c>
      <c r="G215" s="266">
        <f>'прил.7'!H220</f>
        <v>200</v>
      </c>
      <c r="H215" s="266">
        <f>'прил.7'!I220</f>
        <v>200</v>
      </c>
    </row>
    <row r="216" spans="1:8" ht="15.75">
      <c r="A216" s="303" t="s">
        <v>577</v>
      </c>
      <c r="B216" s="87" t="s">
        <v>109</v>
      </c>
      <c r="C216" s="87" t="s">
        <v>173</v>
      </c>
      <c r="D216" s="61">
        <v>9100023050</v>
      </c>
      <c r="E216" s="61">
        <v>610</v>
      </c>
      <c r="F216" s="246">
        <f>'прил.7'!G221</f>
        <v>74.9</v>
      </c>
      <c r="G216" s="246">
        <f>'прил.7'!H221</f>
        <v>500</v>
      </c>
      <c r="H216" s="246">
        <f>'прил.7'!I221</f>
        <v>500</v>
      </c>
    </row>
    <row r="217" spans="1:8" ht="31.5" hidden="1">
      <c r="A217" s="139" t="s">
        <v>298</v>
      </c>
      <c r="B217" s="80" t="s">
        <v>109</v>
      </c>
      <c r="C217" s="80" t="s">
        <v>173</v>
      </c>
      <c r="D217" s="83">
        <v>9100072270</v>
      </c>
      <c r="E217" s="61"/>
      <c r="F217" s="236">
        <f>F218</f>
        <v>0</v>
      </c>
      <c r="G217" s="236">
        <f>G218</f>
        <v>0</v>
      </c>
      <c r="H217" s="236">
        <f>H218</f>
        <v>0</v>
      </c>
    </row>
    <row r="218" spans="1:8" ht="47.25" hidden="1">
      <c r="A218" s="60" t="s">
        <v>302</v>
      </c>
      <c r="B218" s="80" t="s">
        <v>109</v>
      </c>
      <c r="C218" s="80" t="s">
        <v>173</v>
      </c>
      <c r="D218" s="83">
        <v>9100072270</v>
      </c>
      <c r="E218" s="61">
        <v>244</v>
      </c>
      <c r="F218" s="180">
        <v>0</v>
      </c>
      <c r="G218" s="183">
        <v>0</v>
      </c>
      <c r="H218" s="183">
        <v>0</v>
      </c>
    </row>
    <row r="219" spans="1:8" ht="15.75">
      <c r="A219" s="139" t="s">
        <v>376</v>
      </c>
      <c r="B219" s="80" t="s">
        <v>109</v>
      </c>
      <c r="C219" s="80" t="s">
        <v>173</v>
      </c>
      <c r="D219" s="83" t="s">
        <v>351</v>
      </c>
      <c r="E219" s="61"/>
      <c r="F219" s="266">
        <f>'прил.7'!G222</f>
        <v>7854.299999999999</v>
      </c>
      <c r="G219" s="266">
        <f>'прил.7'!H222</f>
        <v>1866.6999999999998</v>
      </c>
      <c r="H219" s="266">
        <f>'прил.7'!I222</f>
        <v>7466.7</v>
      </c>
    </row>
    <row r="220" spans="1:8" ht="45.75" customHeight="1">
      <c r="A220" s="133" t="s">
        <v>575</v>
      </c>
      <c r="B220" s="80" t="s">
        <v>109</v>
      </c>
      <c r="C220" s="80" t="s">
        <v>173</v>
      </c>
      <c r="D220" s="83" t="s">
        <v>351</v>
      </c>
      <c r="E220" s="61">
        <v>240</v>
      </c>
      <c r="F220" s="266">
        <f>'прил.7'!G223</f>
        <v>7854.299999999999</v>
      </c>
      <c r="G220" s="266">
        <f>'прил.7'!H223</f>
        <v>1866.6999999999998</v>
      </c>
      <c r="H220" s="266">
        <f>'прил.7'!I223</f>
        <v>7466.7</v>
      </c>
    </row>
    <row r="221" spans="1:8" ht="31.5" customHeight="1" hidden="1">
      <c r="A221" s="304" t="s">
        <v>625</v>
      </c>
      <c r="B221" s="134" t="s">
        <v>109</v>
      </c>
      <c r="C221" s="134" t="s">
        <v>173</v>
      </c>
      <c r="D221" s="95" t="s">
        <v>623</v>
      </c>
      <c r="E221" s="95"/>
      <c r="F221" s="266">
        <f>'прил.7'!G224</f>
        <v>0</v>
      </c>
      <c r="G221" s="266">
        <f>'прил.7'!H224</f>
        <v>0</v>
      </c>
      <c r="H221" s="266">
        <f>'прил.7'!I224</f>
        <v>0</v>
      </c>
    </row>
    <row r="222" spans="1:8" ht="45.75" customHeight="1" hidden="1">
      <c r="A222" s="133" t="s">
        <v>575</v>
      </c>
      <c r="B222" s="134" t="s">
        <v>109</v>
      </c>
      <c r="C222" s="134" t="s">
        <v>173</v>
      </c>
      <c r="D222" s="95" t="s">
        <v>623</v>
      </c>
      <c r="E222" s="95">
        <v>240</v>
      </c>
      <c r="F222" s="266">
        <f>'прил.7'!G225</f>
        <v>0</v>
      </c>
      <c r="G222" s="266">
        <f>'прил.7'!H225</f>
        <v>0</v>
      </c>
      <c r="H222" s="266">
        <f>'прил.7'!I225</f>
        <v>0</v>
      </c>
    </row>
    <row r="223" spans="1:8" ht="33.75" customHeight="1">
      <c r="A223" s="60" t="s">
        <v>387</v>
      </c>
      <c r="B223" s="87" t="s">
        <v>109</v>
      </c>
      <c r="C223" s="87" t="s">
        <v>173</v>
      </c>
      <c r="D223" s="61" t="s">
        <v>272</v>
      </c>
      <c r="E223" s="61"/>
      <c r="F223" s="266">
        <f>'прил.7'!G226</f>
        <v>4124.6</v>
      </c>
      <c r="G223" s="266">
        <f>G224</f>
        <v>0</v>
      </c>
      <c r="H223" s="266">
        <f>H224</f>
        <v>0</v>
      </c>
    </row>
    <row r="224" spans="1:8" ht="51" customHeight="1">
      <c r="A224" s="133" t="s">
        <v>575</v>
      </c>
      <c r="B224" s="87" t="s">
        <v>109</v>
      </c>
      <c r="C224" s="87" t="s">
        <v>173</v>
      </c>
      <c r="D224" s="61" t="s">
        <v>272</v>
      </c>
      <c r="E224" s="61">
        <v>240</v>
      </c>
      <c r="F224" s="246">
        <f>'прил.7'!G227</f>
        <v>4124.6</v>
      </c>
      <c r="G224" s="246">
        <f>'прил.7'!H227</f>
        <v>0</v>
      </c>
      <c r="H224" s="246">
        <f>'прил.7'!I227</f>
        <v>0</v>
      </c>
    </row>
    <row r="225" spans="1:8" ht="31.5" hidden="1">
      <c r="A225" s="139" t="s">
        <v>384</v>
      </c>
      <c r="B225" s="80" t="s">
        <v>109</v>
      </c>
      <c r="C225" s="80" t="s">
        <v>173</v>
      </c>
      <c r="D225" s="83" t="s">
        <v>383</v>
      </c>
      <c r="E225" s="61"/>
      <c r="F225" s="266"/>
      <c r="G225" s="266">
        <f>G226</f>
        <v>0</v>
      </c>
      <c r="H225" s="266">
        <f>H226</f>
        <v>0</v>
      </c>
    </row>
    <row r="226" spans="1:8" ht="15.75" hidden="1">
      <c r="A226" s="139" t="s">
        <v>355</v>
      </c>
      <c r="B226" s="80" t="s">
        <v>109</v>
      </c>
      <c r="C226" s="80" t="s">
        <v>173</v>
      </c>
      <c r="D226" s="83" t="s">
        <v>383</v>
      </c>
      <c r="E226" s="61">
        <v>244</v>
      </c>
      <c r="F226" s="266">
        <f>'прил.7'!G229</f>
        <v>0</v>
      </c>
      <c r="G226" s="268">
        <v>0</v>
      </c>
      <c r="H226" s="268">
        <v>0</v>
      </c>
    </row>
    <row r="227" spans="1:8" ht="31.5">
      <c r="A227" s="74" t="s">
        <v>159</v>
      </c>
      <c r="B227" s="79" t="s">
        <v>109</v>
      </c>
      <c r="C227" s="79" t="s">
        <v>109</v>
      </c>
      <c r="D227" s="58"/>
      <c r="E227" s="58"/>
      <c r="F227" s="291">
        <f>'прил.7'!G230</f>
        <v>7385.3</v>
      </c>
      <c r="G227" s="291">
        <f>'прил.7'!H230</f>
        <v>200</v>
      </c>
      <c r="H227" s="291">
        <f>'прил.7'!I230</f>
        <v>7000</v>
      </c>
    </row>
    <row r="228" spans="1:8" ht="31.5">
      <c r="A228" s="60" t="s">
        <v>374</v>
      </c>
      <c r="B228" s="87" t="s">
        <v>109</v>
      </c>
      <c r="C228" s="80" t="s">
        <v>109</v>
      </c>
      <c r="D228" s="61">
        <v>9100023050</v>
      </c>
      <c r="E228" s="61"/>
      <c r="F228" s="246">
        <f>'прил.7'!G231</f>
        <v>7385.3</v>
      </c>
      <c r="G228" s="246">
        <f>'прил.7'!H231</f>
        <v>200</v>
      </c>
      <c r="H228" s="246">
        <f>'прил.7'!I231</f>
        <v>7000</v>
      </c>
    </row>
    <row r="229" spans="1:8" ht="15.75" hidden="1">
      <c r="A229" s="60" t="s">
        <v>355</v>
      </c>
      <c r="B229" s="87" t="s">
        <v>109</v>
      </c>
      <c r="C229" s="80" t="s">
        <v>109</v>
      </c>
      <c r="D229" s="61">
        <v>9100023050</v>
      </c>
      <c r="E229" s="61">
        <v>244</v>
      </c>
      <c r="F229" s="246">
        <f>'прил.7'!G232</f>
        <v>0</v>
      </c>
      <c r="G229" s="246">
        <f>'прил.7'!H232</f>
        <v>0</v>
      </c>
      <c r="H229" s="246">
        <f>'прил.7'!I232</f>
        <v>0</v>
      </c>
    </row>
    <row r="230" spans="1:8" ht="19.5" customHeight="1">
      <c r="A230" s="133" t="s">
        <v>577</v>
      </c>
      <c r="B230" s="87" t="s">
        <v>109</v>
      </c>
      <c r="C230" s="80" t="s">
        <v>109</v>
      </c>
      <c r="D230" s="61">
        <v>9100023050</v>
      </c>
      <c r="E230" s="61">
        <v>610</v>
      </c>
      <c r="F230" s="246">
        <f>'прил.7'!G233</f>
        <v>7385.3</v>
      </c>
      <c r="G230" s="246">
        <f>'прил.7'!H233</f>
        <v>200</v>
      </c>
      <c r="H230" s="246">
        <f>'прил.7'!I233</f>
        <v>7000</v>
      </c>
    </row>
    <row r="231" spans="1:8" ht="63" hidden="1">
      <c r="A231" s="60" t="s">
        <v>308</v>
      </c>
      <c r="B231" s="87" t="s">
        <v>109</v>
      </c>
      <c r="C231" s="80" t="s">
        <v>109</v>
      </c>
      <c r="D231" s="61">
        <v>9100024010</v>
      </c>
      <c r="E231" s="61"/>
      <c r="F231" s="246">
        <f>F232</f>
        <v>0</v>
      </c>
      <c r="G231" s="246">
        <f>G232</f>
        <v>0</v>
      </c>
      <c r="H231" s="246">
        <f>H232</f>
        <v>0</v>
      </c>
    </row>
    <row r="232" spans="1:8" ht="47.25" hidden="1">
      <c r="A232" s="60" t="s">
        <v>302</v>
      </c>
      <c r="B232" s="87" t="s">
        <v>109</v>
      </c>
      <c r="C232" s="80" t="s">
        <v>109</v>
      </c>
      <c r="D232" s="61">
        <v>9100024010</v>
      </c>
      <c r="E232" s="61">
        <v>360</v>
      </c>
      <c r="F232" s="246">
        <f>'прил.7'!G235</f>
        <v>0</v>
      </c>
      <c r="G232" s="246">
        <f>'прил.7'!H235</f>
        <v>0</v>
      </c>
      <c r="H232" s="246">
        <f>'прил.7'!I235</f>
        <v>0</v>
      </c>
    </row>
    <row r="233" spans="1:8" ht="20.25" customHeight="1">
      <c r="A233" s="78" t="s">
        <v>88</v>
      </c>
      <c r="B233" s="85" t="s">
        <v>110</v>
      </c>
      <c r="C233" s="85" t="s">
        <v>171</v>
      </c>
      <c r="D233" s="86"/>
      <c r="E233" s="86"/>
      <c r="F233" s="291">
        <f>'прил.7'!G236</f>
        <v>25.2</v>
      </c>
      <c r="G233" s="291">
        <f>'прил.7'!H236</f>
        <v>0</v>
      </c>
      <c r="H233" s="291">
        <f>'прил.7'!I236</f>
        <v>0</v>
      </c>
    </row>
    <row r="234" spans="1:8" ht="33" customHeight="1">
      <c r="A234" s="39" t="s">
        <v>361</v>
      </c>
      <c r="B234" s="80" t="s">
        <v>110</v>
      </c>
      <c r="C234" s="80" t="s">
        <v>110</v>
      </c>
      <c r="D234" s="86"/>
      <c r="E234" s="86"/>
      <c r="F234" s="246">
        <f>'прил.7'!G237</f>
        <v>25.2</v>
      </c>
      <c r="G234" s="246">
        <f>'прил.7'!H237</f>
        <v>0</v>
      </c>
      <c r="H234" s="246">
        <f>'прил.7'!I237</f>
        <v>0</v>
      </c>
    </row>
    <row r="235" spans="1:8" ht="66.75" customHeight="1">
      <c r="A235" s="60" t="s">
        <v>375</v>
      </c>
      <c r="B235" s="80" t="s">
        <v>110</v>
      </c>
      <c r="C235" s="80" t="s">
        <v>110</v>
      </c>
      <c r="D235" s="61">
        <v>9100090170</v>
      </c>
      <c r="E235" s="61"/>
      <c r="F235" s="246">
        <f>'прил.7'!G238</f>
        <v>25.2</v>
      </c>
      <c r="G235" s="246">
        <f>'прил.7'!H238</f>
        <v>0</v>
      </c>
      <c r="H235" s="246">
        <f>'прил.7'!I238</f>
        <v>0</v>
      </c>
    </row>
    <row r="236" spans="1:8" ht="15.75">
      <c r="A236" s="60" t="s">
        <v>188</v>
      </c>
      <c r="B236" s="80" t="s">
        <v>110</v>
      </c>
      <c r="C236" s="80" t="s">
        <v>110</v>
      </c>
      <c r="D236" s="61">
        <v>9100090170</v>
      </c>
      <c r="E236" s="61">
        <v>540</v>
      </c>
      <c r="F236" s="246">
        <f>'прил.7'!G239</f>
        <v>25.2</v>
      </c>
      <c r="G236" s="246">
        <f>'прил.7'!H239</f>
        <v>0</v>
      </c>
      <c r="H236" s="246">
        <f>'прил.7'!I239</f>
        <v>0</v>
      </c>
    </row>
    <row r="237" spans="1:8" ht="18.75">
      <c r="A237" s="98" t="s">
        <v>603</v>
      </c>
      <c r="B237" s="91" t="s">
        <v>600</v>
      </c>
      <c r="C237" s="91" t="s">
        <v>171</v>
      </c>
      <c r="D237" s="61"/>
      <c r="E237" s="61"/>
      <c r="F237" s="246">
        <f>'прил.7'!G240</f>
        <v>400</v>
      </c>
      <c r="G237" s="246">
        <f>'прил.7'!H240</f>
        <v>0</v>
      </c>
      <c r="H237" s="246">
        <f>'прил.7'!I240</f>
        <v>0</v>
      </c>
    </row>
    <row r="238" spans="1:8" ht="31.5">
      <c r="A238" s="99" t="s">
        <v>602</v>
      </c>
      <c r="B238" s="91" t="s">
        <v>600</v>
      </c>
      <c r="C238" s="91" t="s">
        <v>174</v>
      </c>
      <c r="D238" s="100"/>
      <c r="E238" s="100"/>
      <c r="F238" s="246">
        <f>'прил.7'!G241</f>
        <v>400</v>
      </c>
      <c r="G238" s="246">
        <f>'прил.7'!H241</f>
        <v>0</v>
      </c>
      <c r="H238" s="246">
        <f>'прил.7'!I241</f>
        <v>0</v>
      </c>
    </row>
    <row r="239" spans="1:8" ht="31.5">
      <c r="A239" s="60" t="s">
        <v>387</v>
      </c>
      <c r="B239" s="80" t="s">
        <v>600</v>
      </c>
      <c r="C239" s="80" t="s">
        <v>174</v>
      </c>
      <c r="D239" s="83" t="s">
        <v>272</v>
      </c>
      <c r="E239" s="95"/>
      <c r="F239" s="246">
        <f>'прил.7'!G242</f>
        <v>400</v>
      </c>
      <c r="G239" s="246">
        <f>'прил.7'!H242</f>
        <v>0</v>
      </c>
      <c r="H239" s="246">
        <f>'прил.7'!I242</f>
        <v>0</v>
      </c>
    </row>
    <row r="240" spans="1:8" ht="47.25">
      <c r="A240" s="304" t="s">
        <v>575</v>
      </c>
      <c r="B240" s="80" t="s">
        <v>600</v>
      </c>
      <c r="C240" s="80" t="s">
        <v>174</v>
      </c>
      <c r="D240" s="83" t="s">
        <v>272</v>
      </c>
      <c r="E240" s="311">
        <v>240</v>
      </c>
      <c r="F240" s="246">
        <f>'прил.7'!G243</f>
        <v>400</v>
      </c>
      <c r="G240" s="246">
        <f>'прил.7'!H243</f>
        <v>0</v>
      </c>
      <c r="H240" s="246">
        <f>'прил.7'!I243</f>
        <v>0</v>
      </c>
    </row>
    <row r="241" spans="1:8" ht="18.75" customHeight="1">
      <c r="A241" s="78" t="s">
        <v>89</v>
      </c>
      <c r="B241" s="85">
        <v>10</v>
      </c>
      <c r="C241" s="85" t="s">
        <v>171</v>
      </c>
      <c r="D241" s="90"/>
      <c r="E241" s="90"/>
      <c r="F241" s="291">
        <f>'прил.7'!G244</f>
        <v>770.7</v>
      </c>
      <c r="G241" s="291">
        <f>'прил.7'!H244</f>
        <v>320</v>
      </c>
      <c r="H241" s="291">
        <f>'прил.7'!I244</f>
        <v>320</v>
      </c>
    </row>
    <row r="242" spans="1:8" ht="18.75">
      <c r="A242" s="74" t="s">
        <v>362</v>
      </c>
      <c r="B242" s="87">
        <v>10</v>
      </c>
      <c r="C242" s="80" t="s">
        <v>170</v>
      </c>
      <c r="D242" s="90"/>
      <c r="E242" s="90"/>
      <c r="F242" s="246">
        <f>'прил.7'!G245</f>
        <v>319.7</v>
      </c>
      <c r="G242" s="246">
        <f>'прил.7'!H245</f>
        <v>320</v>
      </c>
      <c r="H242" s="246">
        <f>'прил.7'!I245</f>
        <v>320</v>
      </c>
    </row>
    <row r="243" spans="1:8" ht="31.5">
      <c r="A243" s="60" t="s">
        <v>4</v>
      </c>
      <c r="B243" s="87">
        <v>10</v>
      </c>
      <c r="C243" s="80" t="s">
        <v>170</v>
      </c>
      <c r="D243" s="61">
        <v>9100083010</v>
      </c>
      <c r="E243" s="90"/>
      <c r="F243" s="246">
        <f>'прил.7'!G246</f>
        <v>319.7</v>
      </c>
      <c r="G243" s="246">
        <f>'прил.7'!H246</f>
        <v>320</v>
      </c>
      <c r="H243" s="246">
        <f>'прил.7'!I246</f>
        <v>320</v>
      </c>
    </row>
    <row r="244" spans="1:8" ht="49.5" customHeight="1">
      <c r="A244" s="133" t="s">
        <v>576</v>
      </c>
      <c r="B244" s="87">
        <v>10</v>
      </c>
      <c r="C244" s="80" t="s">
        <v>170</v>
      </c>
      <c r="D244" s="61">
        <v>9100083010</v>
      </c>
      <c r="E244" s="61">
        <v>320</v>
      </c>
      <c r="F244" s="246">
        <f>'прил.7'!G247</f>
        <v>319.7</v>
      </c>
      <c r="G244" s="246">
        <f>'прил.7'!H247</f>
        <v>320</v>
      </c>
      <c r="H244" s="246">
        <f>'прил.7'!I247</f>
        <v>320</v>
      </c>
    </row>
    <row r="245" spans="1:8" ht="19.5" customHeight="1">
      <c r="A245" s="317" t="s">
        <v>659</v>
      </c>
      <c r="B245" s="80">
        <v>10</v>
      </c>
      <c r="C245" s="80" t="s">
        <v>173</v>
      </c>
      <c r="D245" s="61"/>
      <c r="E245" s="95"/>
      <c r="F245" s="246">
        <f>'прил.7'!G248</f>
        <v>1</v>
      </c>
      <c r="G245" s="246">
        <f>'прил.7'!H248</f>
        <v>0</v>
      </c>
      <c r="H245" s="246">
        <f>'прил.7'!I248</f>
        <v>0</v>
      </c>
    </row>
    <row r="246" spans="1:8" ht="18.75" customHeight="1">
      <c r="A246" s="3" t="s">
        <v>658</v>
      </c>
      <c r="B246" s="80">
        <v>10</v>
      </c>
      <c r="C246" s="80" t="s">
        <v>173</v>
      </c>
      <c r="D246" s="61">
        <v>9100083040</v>
      </c>
      <c r="E246" s="95"/>
      <c r="F246" s="246">
        <f>'прил.7'!G249</f>
        <v>1</v>
      </c>
      <c r="G246" s="246">
        <f>'прил.7'!H249</f>
        <v>0</v>
      </c>
      <c r="H246" s="246">
        <f>'прил.7'!I249</f>
        <v>0</v>
      </c>
    </row>
    <row r="247" spans="1:8" ht="21" customHeight="1">
      <c r="A247" s="133" t="s">
        <v>660</v>
      </c>
      <c r="B247" s="80">
        <v>10</v>
      </c>
      <c r="C247" s="80" t="s">
        <v>173</v>
      </c>
      <c r="D247" s="61">
        <v>9100083040</v>
      </c>
      <c r="E247" s="95">
        <v>360</v>
      </c>
      <c r="F247" s="246">
        <f>'прил.7'!G250</f>
        <v>1</v>
      </c>
      <c r="G247" s="246">
        <f>'прил.7'!H250</f>
        <v>0</v>
      </c>
      <c r="H247" s="246">
        <f>'прил.7'!I250</f>
        <v>0</v>
      </c>
    </row>
    <row r="248" spans="1:8" ht="31.5" customHeight="1">
      <c r="A248" s="318" t="s">
        <v>651</v>
      </c>
      <c r="B248" s="87">
        <v>10</v>
      </c>
      <c r="C248" s="87" t="s">
        <v>107</v>
      </c>
      <c r="D248" s="61"/>
      <c r="E248" s="61"/>
      <c r="F248" s="246">
        <f>'прил.7'!G251</f>
        <v>450</v>
      </c>
      <c r="G248" s="246">
        <f>'прил.7'!H251</f>
        <v>0</v>
      </c>
      <c r="H248" s="246">
        <f>'прил.7'!I251</f>
        <v>0</v>
      </c>
    </row>
    <row r="249" spans="1:8" ht="31.5" hidden="1">
      <c r="A249" s="316" t="s">
        <v>189</v>
      </c>
      <c r="B249" s="80" t="s">
        <v>111</v>
      </c>
      <c r="C249" s="80" t="s">
        <v>173</v>
      </c>
      <c r="D249" s="61">
        <v>7050000000</v>
      </c>
      <c r="E249" s="61"/>
      <c r="F249" s="246">
        <f>'прил.7'!G252</f>
        <v>0</v>
      </c>
      <c r="G249" s="246">
        <f>'прил.7'!H252</f>
        <v>0</v>
      </c>
      <c r="H249" s="246">
        <f>'прил.7'!I252</f>
        <v>0</v>
      </c>
    </row>
    <row r="250" spans="1:8" ht="47.25" hidden="1">
      <c r="A250" s="316" t="s">
        <v>5</v>
      </c>
      <c r="B250" s="80" t="s">
        <v>111</v>
      </c>
      <c r="C250" s="80" t="s">
        <v>173</v>
      </c>
      <c r="D250" s="61">
        <v>7050000000</v>
      </c>
      <c r="E250" s="61">
        <v>321</v>
      </c>
      <c r="F250" s="246">
        <f>'прил.7'!G253</f>
        <v>0</v>
      </c>
      <c r="G250" s="246">
        <f>'прил.7'!H253</f>
        <v>0</v>
      </c>
      <c r="H250" s="246">
        <f>'прил.7'!I253</f>
        <v>0</v>
      </c>
    </row>
    <row r="251" spans="1:8" ht="63" customHeight="1">
      <c r="A251" s="133" t="s">
        <v>650</v>
      </c>
      <c r="B251" s="80">
        <v>10</v>
      </c>
      <c r="C251" s="80" t="s">
        <v>107</v>
      </c>
      <c r="D251" s="95" t="s">
        <v>649</v>
      </c>
      <c r="E251" s="61"/>
      <c r="F251" s="246">
        <f>'прил.7'!G254</f>
        <v>450</v>
      </c>
      <c r="G251" s="246">
        <f>'прил.7'!H254</f>
        <v>0</v>
      </c>
      <c r="H251" s="246">
        <f>'прил.7'!I254</f>
        <v>0</v>
      </c>
    </row>
    <row r="252" spans="1:8" ht="47.25">
      <c r="A252" s="304" t="s">
        <v>575</v>
      </c>
      <c r="B252" s="80">
        <v>10</v>
      </c>
      <c r="C252" s="80" t="s">
        <v>107</v>
      </c>
      <c r="D252" s="95" t="s">
        <v>649</v>
      </c>
      <c r="E252" s="61">
        <v>240</v>
      </c>
      <c r="F252" s="246">
        <f>'прил.7'!G255</f>
        <v>450</v>
      </c>
      <c r="G252" s="246">
        <f>'прил.7'!H255</f>
        <v>0</v>
      </c>
      <c r="H252" s="246">
        <f>'прил.7'!I255</f>
        <v>0</v>
      </c>
    </row>
    <row r="253" spans="1:8" ht="39" hidden="1">
      <c r="A253" s="78" t="s">
        <v>90</v>
      </c>
      <c r="B253" s="85">
        <v>11</v>
      </c>
      <c r="C253" s="85" t="s">
        <v>171</v>
      </c>
      <c r="D253" s="86"/>
      <c r="E253" s="86"/>
      <c r="F253" s="246">
        <f>'прил.7'!G256</f>
        <v>0</v>
      </c>
      <c r="G253" s="246">
        <f>'прил.7'!H256</f>
        <v>0</v>
      </c>
      <c r="H253" s="246">
        <f>'прил.7'!I256</f>
        <v>0</v>
      </c>
    </row>
    <row r="254" spans="1:8" ht="15.75" hidden="1">
      <c r="A254" s="60" t="s">
        <v>34</v>
      </c>
      <c r="B254" s="80">
        <v>11</v>
      </c>
      <c r="C254" s="80" t="s">
        <v>170</v>
      </c>
      <c r="D254" s="61">
        <v>9100000000</v>
      </c>
      <c r="E254" s="61"/>
      <c r="F254" s="246">
        <f>'прил.7'!G257</f>
        <v>0</v>
      </c>
      <c r="G254" s="246">
        <f>'прил.7'!H257</f>
        <v>0</v>
      </c>
      <c r="H254" s="246">
        <f>'прил.7'!I257</f>
        <v>0</v>
      </c>
    </row>
    <row r="255" spans="1:8" ht="79.5" customHeight="1" hidden="1">
      <c r="A255" s="60" t="s">
        <v>91</v>
      </c>
      <c r="B255" s="80">
        <v>11</v>
      </c>
      <c r="C255" s="80" t="s">
        <v>170</v>
      </c>
      <c r="D255" s="61">
        <v>9100090180</v>
      </c>
      <c r="E255" s="61"/>
      <c r="F255" s="246">
        <f>'прил.7'!G258</f>
        <v>0</v>
      </c>
      <c r="G255" s="246">
        <f>'прил.7'!H258</f>
        <v>0</v>
      </c>
      <c r="H255" s="246">
        <f>'прил.7'!I258</f>
        <v>0</v>
      </c>
    </row>
    <row r="256" spans="1:8" ht="110.25" hidden="1">
      <c r="A256" s="60" t="s">
        <v>217</v>
      </c>
      <c r="B256" s="80" t="s">
        <v>205</v>
      </c>
      <c r="C256" s="80" t="s">
        <v>170</v>
      </c>
      <c r="D256" s="61">
        <v>9100090180</v>
      </c>
      <c r="E256" s="61">
        <v>540</v>
      </c>
      <c r="F256" s="246">
        <f>'прил.7'!G259</f>
        <v>0</v>
      </c>
      <c r="G256" s="246">
        <f>'прил.7'!H259</f>
        <v>0</v>
      </c>
      <c r="H256" s="246">
        <f>'прил.7'!I259</f>
        <v>0</v>
      </c>
    </row>
    <row r="257" spans="1:8" ht="18.75" customHeight="1">
      <c r="A257" s="78" t="s">
        <v>92</v>
      </c>
      <c r="B257" s="85">
        <v>12</v>
      </c>
      <c r="C257" s="85" t="s">
        <v>171</v>
      </c>
      <c r="D257" s="86"/>
      <c r="E257" s="86"/>
      <c r="F257" s="291">
        <f>'прил.7'!G260</f>
        <v>97.6</v>
      </c>
      <c r="G257" s="291">
        <f>'прил.7'!H260</f>
        <v>190</v>
      </c>
      <c r="H257" s="291">
        <f>'прил.7'!I260</f>
        <v>190</v>
      </c>
    </row>
    <row r="258" spans="1:8" ht="15.75">
      <c r="A258" s="60" t="s">
        <v>165</v>
      </c>
      <c r="B258" s="80">
        <v>12</v>
      </c>
      <c r="C258" s="80" t="s">
        <v>172</v>
      </c>
      <c r="D258" s="61"/>
      <c r="E258" s="61"/>
      <c r="F258" s="246">
        <f>'прил.7'!G261</f>
        <v>97.6</v>
      </c>
      <c r="G258" s="246">
        <f>'прил.7'!H261</f>
        <v>190</v>
      </c>
      <c r="H258" s="246">
        <f>'прил.7'!I261</f>
        <v>190</v>
      </c>
    </row>
    <row r="259" spans="1:8" ht="31.5">
      <c r="A259" s="60" t="s">
        <v>488</v>
      </c>
      <c r="B259" s="80">
        <v>12</v>
      </c>
      <c r="C259" s="80" t="s">
        <v>172</v>
      </c>
      <c r="D259" s="61">
        <v>9100086010</v>
      </c>
      <c r="E259" s="61"/>
      <c r="F259" s="246">
        <f>'прил.7'!G262</f>
        <v>97.6</v>
      </c>
      <c r="G259" s="246">
        <f>'прил.7'!H262</f>
        <v>190</v>
      </c>
      <c r="H259" s="246">
        <f>'прил.7'!I262</f>
        <v>190</v>
      </c>
    </row>
    <row r="260" spans="1:8" ht="45" customHeight="1">
      <c r="A260" s="133" t="s">
        <v>575</v>
      </c>
      <c r="B260" s="80">
        <v>12</v>
      </c>
      <c r="C260" s="80" t="s">
        <v>172</v>
      </c>
      <c r="D260" s="61">
        <v>9100086010</v>
      </c>
      <c r="E260" s="61">
        <v>240</v>
      </c>
      <c r="F260" s="246">
        <f>'прил.7'!G263</f>
        <v>97.6</v>
      </c>
      <c r="G260" s="246">
        <f>'прил.7'!H263</f>
        <v>190</v>
      </c>
      <c r="H260" s="246">
        <f>'прил.7'!I263</f>
        <v>190</v>
      </c>
    </row>
    <row r="261" spans="1:8" ht="38.25" customHeight="1" hidden="1">
      <c r="A261" s="78" t="s">
        <v>93</v>
      </c>
      <c r="B261" s="85">
        <v>13</v>
      </c>
      <c r="C261" s="85" t="s">
        <v>171</v>
      </c>
      <c r="D261" s="86"/>
      <c r="E261" s="86"/>
      <c r="F261" s="291">
        <f>'прил.7'!G264</f>
        <v>0</v>
      </c>
      <c r="G261" s="291">
        <f>'прил.7'!H264</f>
        <v>0</v>
      </c>
      <c r="H261" s="291">
        <f>'прил.7'!I264</f>
        <v>0</v>
      </c>
    </row>
    <row r="262" spans="1:8" ht="45.75" customHeight="1" hidden="1">
      <c r="A262" s="39" t="s">
        <v>167</v>
      </c>
      <c r="B262" s="85" t="s">
        <v>35</v>
      </c>
      <c r="C262" s="85" t="s">
        <v>170</v>
      </c>
      <c r="D262" s="86"/>
      <c r="E262" s="86"/>
      <c r="F262" s="291">
        <f>'прил.7'!G265</f>
        <v>0</v>
      </c>
      <c r="G262" s="291">
        <f>'прил.7'!H265</f>
        <v>0</v>
      </c>
      <c r="H262" s="291">
        <f>'прил.7'!I265</f>
        <v>0</v>
      </c>
    </row>
    <row r="263" spans="1:8" ht="31.5" hidden="1">
      <c r="A263" s="60" t="s">
        <v>218</v>
      </c>
      <c r="B263" s="80">
        <v>13</v>
      </c>
      <c r="C263" s="80" t="s">
        <v>170</v>
      </c>
      <c r="D263" s="61">
        <v>9100020990</v>
      </c>
      <c r="E263" s="61"/>
      <c r="F263" s="246">
        <f>'прил.7'!G266</f>
        <v>0</v>
      </c>
      <c r="G263" s="246">
        <f>'прил.7'!H266</f>
        <v>0</v>
      </c>
      <c r="H263" s="246">
        <f>'прил.7'!I266</f>
        <v>0</v>
      </c>
    </row>
    <row r="264" spans="1:8" ht="15.75" hidden="1">
      <c r="A264" s="60" t="s">
        <v>359</v>
      </c>
      <c r="B264" s="80">
        <v>13</v>
      </c>
      <c r="C264" s="80" t="s">
        <v>170</v>
      </c>
      <c r="D264" s="61">
        <v>9100020990</v>
      </c>
      <c r="E264" s="61">
        <v>730</v>
      </c>
      <c r="F264" s="246">
        <f>'прил.7'!G267</f>
        <v>0</v>
      </c>
      <c r="G264" s="246">
        <f>'прил.7'!H267</f>
        <v>0</v>
      </c>
      <c r="H264" s="246">
        <f>'прил.7'!I267</f>
        <v>0</v>
      </c>
    </row>
    <row r="265" spans="1:8" ht="19.5">
      <c r="A265" s="78" t="s">
        <v>168</v>
      </c>
      <c r="B265" s="92"/>
      <c r="C265" s="92"/>
      <c r="D265" s="90"/>
      <c r="E265" s="90"/>
      <c r="F265" s="292">
        <f>F261+F257+F253+F241+F233+F180+F158+F147+F116+F105+F99+F89+F19+F227+F237</f>
        <v>179819.40000000002</v>
      </c>
      <c r="G265" s="292">
        <f>G261+G257+G253+G241+G233+G180+G158+G147+G116+G105+G99+G89+G19+G227+G237</f>
        <v>38767.8</v>
      </c>
      <c r="H265" s="292">
        <f>H261+H257+H253+H241+H233+H180+H158+H147+H116+H105+H99+H89+H19+H227+H237</f>
        <v>42067.6</v>
      </c>
    </row>
    <row r="266" spans="1:8" ht="31.5">
      <c r="A266" s="60" t="s">
        <v>212</v>
      </c>
      <c r="B266" s="92"/>
      <c r="C266" s="92"/>
      <c r="D266" s="90"/>
      <c r="E266" s="90"/>
      <c r="F266" s="293"/>
      <c r="G266" s="246">
        <f>'прил.7'!H269</f>
        <v>1023</v>
      </c>
      <c r="H266" s="246">
        <f>'прил.7'!I269</f>
        <v>2503.2</v>
      </c>
    </row>
    <row r="267" spans="1:8" ht="19.5">
      <c r="A267" s="78" t="s">
        <v>168</v>
      </c>
      <c r="B267" s="92"/>
      <c r="C267" s="92"/>
      <c r="D267" s="90"/>
      <c r="E267" s="90"/>
      <c r="F267" s="292">
        <f>F265+F266</f>
        <v>179819.40000000002</v>
      </c>
      <c r="G267" s="292">
        <f>G265+G266</f>
        <v>39790.8</v>
      </c>
      <c r="H267" s="292">
        <f>H265+H266</f>
        <v>44570.799999999996</v>
      </c>
    </row>
    <row r="268" ht="12.75">
      <c r="H268" s="132" t="s">
        <v>564</v>
      </c>
    </row>
  </sheetData>
  <sheetProtection/>
  <mergeCells count="12">
    <mergeCell ref="B16:B17"/>
    <mergeCell ref="A14:H14"/>
    <mergeCell ref="A16:A17"/>
    <mergeCell ref="A11:H11"/>
    <mergeCell ref="A12:H12"/>
    <mergeCell ref="A13:H13"/>
    <mergeCell ref="F7:H7"/>
    <mergeCell ref="F8:H8"/>
    <mergeCell ref="F16:H16"/>
    <mergeCell ref="D16:D17"/>
    <mergeCell ref="C16:C17"/>
    <mergeCell ref="F4:H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2"/>
  <sheetViews>
    <sheetView zoomScalePageLayoutView="0" workbookViewId="0" topLeftCell="A263">
      <selection activeCell="G206" sqref="G206"/>
    </sheetView>
  </sheetViews>
  <sheetFormatPr defaultColWidth="9.140625" defaultRowHeight="12.75"/>
  <cols>
    <col min="1" max="1" width="52.57421875" style="38" customWidth="1"/>
    <col min="2" max="2" width="8.8515625" style="0" customWidth="1"/>
    <col min="3" max="3" width="4.421875" style="0" customWidth="1"/>
    <col min="4" max="4" width="6.28125" style="0" customWidth="1"/>
    <col min="5" max="5" width="13.00390625" style="0" customWidth="1"/>
    <col min="6" max="6" width="6.28125" style="0" customWidth="1"/>
    <col min="7" max="7" width="17.28125" style="0" customWidth="1"/>
    <col min="8" max="8" width="12.57421875" style="0" customWidth="1"/>
    <col min="9" max="9" width="14.8515625" style="0" customWidth="1"/>
  </cols>
  <sheetData>
    <row r="1" spans="5:7" ht="15.75" customHeight="1">
      <c r="E1" s="29"/>
      <c r="F1" s="29"/>
      <c r="G1" s="29"/>
    </row>
    <row r="2" spans="5:9" ht="15.75" customHeight="1">
      <c r="E2" s="29"/>
      <c r="F2" s="29"/>
      <c r="G2" s="131" t="s">
        <v>657</v>
      </c>
      <c r="H2" s="3"/>
      <c r="I2" s="3"/>
    </row>
    <row r="3" spans="5:9" ht="15.75" customHeight="1">
      <c r="E3" s="29"/>
      <c r="F3" s="29"/>
      <c r="G3" s="347" t="s">
        <v>616</v>
      </c>
      <c r="H3" s="400"/>
      <c r="I3" s="400"/>
    </row>
    <row r="4" spans="5:9" ht="15.75" customHeight="1">
      <c r="E4" s="29"/>
      <c r="F4" s="29"/>
      <c r="G4" s="347" t="s">
        <v>617</v>
      </c>
      <c r="H4" s="333"/>
      <c r="I4" s="333"/>
    </row>
    <row r="5" spans="5:9" ht="15.75" customHeight="1">
      <c r="E5" s="29"/>
      <c r="F5" s="29"/>
      <c r="G5" s="347" t="s">
        <v>292</v>
      </c>
      <c r="H5" s="400"/>
      <c r="I5" s="400"/>
    </row>
    <row r="6" spans="5:7" ht="15.75" customHeight="1">
      <c r="E6" s="29"/>
      <c r="F6" s="29"/>
      <c r="G6" s="29"/>
    </row>
    <row r="7" spans="5:9" ht="15.75" customHeight="1">
      <c r="E7" s="29"/>
      <c r="F7" s="29"/>
      <c r="G7" s="323" t="s">
        <v>568</v>
      </c>
      <c r="H7" s="323"/>
      <c r="I7" s="323"/>
    </row>
    <row r="8" spans="5:9" ht="15.75" customHeight="1">
      <c r="E8" s="29"/>
      <c r="F8" s="29"/>
      <c r="G8" s="323" t="s">
        <v>264</v>
      </c>
      <c r="H8" s="323"/>
      <c r="I8" s="323"/>
    </row>
    <row r="9" spans="5:9" ht="15.75" customHeight="1">
      <c r="E9" s="29"/>
      <c r="F9" s="29"/>
      <c r="G9" s="323" t="s">
        <v>626</v>
      </c>
      <c r="H9" s="323"/>
      <c r="I9" s="323"/>
    </row>
    <row r="10" spans="5:9" ht="15.75" customHeight="1">
      <c r="E10" s="29"/>
      <c r="F10" s="29"/>
      <c r="G10" s="334" t="s">
        <v>618</v>
      </c>
      <c r="H10" s="334"/>
      <c r="I10" s="334"/>
    </row>
    <row r="11" spans="5:9" ht="15.75" customHeight="1">
      <c r="E11" s="29"/>
      <c r="F11" s="29"/>
      <c r="G11" s="334" t="s">
        <v>504</v>
      </c>
      <c r="H11" s="334"/>
      <c r="I11" s="334"/>
    </row>
    <row r="12" spans="5:9" ht="15.75" customHeight="1">
      <c r="E12" s="29"/>
      <c r="F12" s="29"/>
      <c r="G12" s="49" t="s">
        <v>505</v>
      </c>
      <c r="H12" s="50"/>
      <c r="I12" s="50"/>
    </row>
    <row r="13" spans="5:9" ht="15.75" customHeight="1">
      <c r="E13" s="29"/>
      <c r="F13" s="29"/>
      <c r="G13" s="324" t="s">
        <v>557</v>
      </c>
      <c r="H13" s="324"/>
      <c r="I13" s="324"/>
    </row>
    <row r="14" ht="15.75">
      <c r="F14" s="2"/>
    </row>
    <row r="15" spans="1:9" ht="18.75">
      <c r="A15" s="331" t="s">
        <v>529</v>
      </c>
      <c r="B15" s="398"/>
      <c r="C15" s="398"/>
      <c r="D15" s="398"/>
      <c r="E15" s="398"/>
      <c r="F15" s="398"/>
      <c r="G15" s="398"/>
      <c r="H15" s="398"/>
      <c r="I15" s="398"/>
    </row>
    <row r="16" spans="1:9" ht="18" customHeight="1">
      <c r="A16" s="331" t="s">
        <v>528</v>
      </c>
      <c r="B16" s="398"/>
      <c r="C16" s="398"/>
      <c r="D16" s="398"/>
      <c r="E16" s="398"/>
      <c r="F16" s="398"/>
      <c r="G16" s="398"/>
      <c r="H16" s="398"/>
      <c r="I16" s="398"/>
    </row>
    <row r="17" spans="1:9" ht="19.5" customHeight="1">
      <c r="A17" s="8"/>
      <c r="B17" s="8"/>
      <c r="C17" s="8"/>
      <c r="G17" s="27"/>
      <c r="H17" s="27"/>
      <c r="I17" s="27" t="s">
        <v>258</v>
      </c>
    </row>
    <row r="18" spans="1:9" ht="21.75" customHeight="1">
      <c r="A18" s="402" t="s">
        <v>275</v>
      </c>
      <c r="B18" s="395" t="s">
        <v>225</v>
      </c>
      <c r="C18" s="395" t="s">
        <v>143</v>
      </c>
      <c r="D18" s="395" t="s">
        <v>175</v>
      </c>
      <c r="E18" s="395" t="s">
        <v>176</v>
      </c>
      <c r="F18" s="395" t="s">
        <v>177</v>
      </c>
      <c r="G18" s="401" t="s">
        <v>259</v>
      </c>
      <c r="H18" s="393"/>
      <c r="I18" s="393"/>
    </row>
    <row r="19" spans="1:9" ht="78.75" customHeight="1">
      <c r="A19" s="402"/>
      <c r="B19" s="395"/>
      <c r="C19" s="395"/>
      <c r="D19" s="395"/>
      <c r="E19" s="395"/>
      <c r="F19" s="403"/>
      <c r="G19" s="117" t="s">
        <v>326</v>
      </c>
      <c r="H19" s="117" t="s">
        <v>399</v>
      </c>
      <c r="I19" s="117" t="s">
        <v>512</v>
      </c>
    </row>
    <row r="20" spans="1:9" ht="12.75">
      <c r="A20" s="102">
        <v>1</v>
      </c>
      <c r="B20" s="76">
        <v>2</v>
      </c>
      <c r="C20" s="76">
        <v>3</v>
      </c>
      <c r="D20" s="76">
        <v>4</v>
      </c>
      <c r="E20" s="76">
        <v>5</v>
      </c>
      <c r="F20" s="76">
        <v>6</v>
      </c>
      <c r="G20" s="76">
        <v>7</v>
      </c>
      <c r="H20" s="36">
        <v>8</v>
      </c>
      <c r="I20" s="36">
        <v>9</v>
      </c>
    </row>
    <row r="21" spans="1:9" ht="19.5" customHeight="1">
      <c r="A21" s="77" t="s">
        <v>94</v>
      </c>
      <c r="B21" s="100">
        <v>156</v>
      </c>
      <c r="C21" s="102"/>
      <c r="D21" s="102"/>
      <c r="E21" s="102"/>
      <c r="F21" s="102"/>
      <c r="G21" s="271">
        <f>G268</f>
        <v>179819.40000000002</v>
      </c>
      <c r="H21" s="271">
        <f>H268</f>
        <v>38767.8</v>
      </c>
      <c r="I21" s="271">
        <f>I268</f>
        <v>42067.6</v>
      </c>
    </row>
    <row r="22" spans="1:9" ht="21.75" customHeight="1">
      <c r="A22" s="98" t="s">
        <v>178</v>
      </c>
      <c r="B22" s="100">
        <v>156</v>
      </c>
      <c r="C22" s="91" t="s">
        <v>170</v>
      </c>
      <c r="D22" s="91" t="s">
        <v>171</v>
      </c>
      <c r="E22" s="61"/>
      <c r="F22" s="61"/>
      <c r="G22" s="267">
        <f>G23+G30+G37+G59+G65+G69+G62</f>
        <v>12686.7</v>
      </c>
      <c r="H22" s="267">
        <f>H23+H30+H37+H59+H65+H69+H62</f>
        <v>5434.9</v>
      </c>
      <c r="I22" s="267">
        <f>I23+I30+I37+I59+I65+I69+I62</f>
        <v>10434.9</v>
      </c>
    </row>
    <row r="23" spans="1:9" ht="17.25" customHeight="1" hidden="1">
      <c r="A23" s="99" t="s">
        <v>146</v>
      </c>
      <c r="B23" s="100">
        <v>156</v>
      </c>
      <c r="C23" s="91" t="s">
        <v>170</v>
      </c>
      <c r="D23" s="91" t="s">
        <v>172</v>
      </c>
      <c r="E23" s="100"/>
      <c r="F23" s="100"/>
      <c r="G23" s="267">
        <f>G24</f>
        <v>0</v>
      </c>
      <c r="H23" s="267">
        <f aca="true" t="shared" si="0" ref="H23:I25">H24</f>
        <v>0</v>
      </c>
      <c r="I23" s="267">
        <f t="shared" si="0"/>
        <v>0</v>
      </c>
    </row>
    <row r="24" spans="1:9" ht="16.5" customHeight="1" hidden="1">
      <c r="A24" s="60" t="s">
        <v>179</v>
      </c>
      <c r="B24" s="100">
        <v>156</v>
      </c>
      <c r="C24" s="80" t="s">
        <v>170</v>
      </c>
      <c r="D24" s="80" t="s">
        <v>172</v>
      </c>
      <c r="E24" s="61">
        <v>9100000000</v>
      </c>
      <c r="F24" s="61"/>
      <c r="G24" s="266">
        <f>G25</f>
        <v>0</v>
      </c>
      <c r="H24" s="266">
        <f t="shared" si="0"/>
        <v>0</v>
      </c>
      <c r="I24" s="266">
        <f t="shared" si="0"/>
        <v>0</v>
      </c>
    </row>
    <row r="25" spans="1:9" ht="18" customHeight="1" hidden="1">
      <c r="A25" s="60" t="s">
        <v>180</v>
      </c>
      <c r="B25" s="100">
        <v>156</v>
      </c>
      <c r="C25" s="80" t="s">
        <v>170</v>
      </c>
      <c r="D25" s="80" t="s">
        <v>172</v>
      </c>
      <c r="E25" s="61">
        <v>9100000180</v>
      </c>
      <c r="F25" s="61"/>
      <c r="G25" s="266">
        <f>G26</f>
        <v>0</v>
      </c>
      <c r="H25" s="266">
        <f t="shared" si="0"/>
        <v>0</v>
      </c>
      <c r="I25" s="266">
        <f t="shared" si="0"/>
        <v>0</v>
      </c>
    </row>
    <row r="26" spans="1:9" ht="33.75" customHeight="1" hidden="1">
      <c r="A26" s="60" t="s">
        <v>181</v>
      </c>
      <c r="B26" s="100">
        <v>156</v>
      </c>
      <c r="C26" s="80" t="s">
        <v>170</v>
      </c>
      <c r="D26" s="80" t="s">
        <v>172</v>
      </c>
      <c r="E26" s="61">
        <v>9100000180</v>
      </c>
      <c r="F26" s="61"/>
      <c r="G26" s="266">
        <f>G27+G28+G29</f>
        <v>0</v>
      </c>
      <c r="H26" s="266">
        <f>H27+H28+H29</f>
        <v>0</v>
      </c>
      <c r="I26" s="266">
        <f>I27+I28+I29</f>
        <v>0</v>
      </c>
    </row>
    <row r="27" spans="1:9" ht="33.75" customHeight="1" hidden="1">
      <c r="A27" s="60" t="s">
        <v>31</v>
      </c>
      <c r="B27" s="100">
        <v>156</v>
      </c>
      <c r="C27" s="80" t="s">
        <v>170</v>
      </c>
      <c r="D27" s="80" t="s">
        <v>172</v>
      </c>
      <c r="E27" s="61">
        <v>9100000180</v>
      </c>
      <c r="F27" s="61">
        <v>121</v>
      </c>
      <c r="G27" s="266"/>
      <c r="H27" s="272"/>
      <c r="I27" s="272"/>
    </row>
    <row r="28" spans="1:9" ht="49.5" customHeight="1" hidden="1">
      <c r="A28" s="60" t="s">
        <v>250</v>
      </c>
      <c r="B28" s="100">
        <v>156</v>
      </c>
      <c r="C28" s="80" t="s">
        <v>170</v>
      </c>
      <c r="D28" s="80" t="s">
        <v>172</v>
      </c>
      <c r="E28" s="61">
        <v>9100000180</v>
      </c>
      <c r="F28" s="61">
        <v>122</v>
      </c>
      <c r="G28" s="266"/>
      <c r="H28" s="272"/>
      <c r="I28" s="272"/>
    </row>
    <row r="29" spans="1:9" ht="49.5" customHeight="1" hidden="1">
      <c r="A29" s="60" t="s">
        <v>251</v>
      </c>
      <c r="B29" s="100">
        <v>156</v>
      </c>
      <c r="C29" s="80" t="s">
        <v>170</v>
      </c>
      <c r="D29" s="80" t="s">
        <v>172</v>
      </c>
      <c r="E29" s="61">
        <v>9100000180</v>
      </c>
      <c r="F29" s="61">
        <v>129</v>
      </c>
      <c r="G29" s="266"/>
      <c r="H29" s="272"/>
      <c r="I29" s="272"/>
    </row>
    <row r="30" spans="1:9" ht="50.25" customHeight="1" hidden="1">
      <c r="A30" s="99" t="s">
        <v>182</v>
      </c>
      <c r="B30" s="100">
        <v>156</v>
      </c>
      <c r="C30" s="91" t="s">
        <v>170</v>
      </c>
      <c r="D30" s="91" t="s">
        <v>173</v>
      </c>
      <c r="E30" s="100"/>
      <c r="F30" s="100"/>
      <c r="G30" s="267">
        <f aca="true" t="shared" si="1" ref="G30:I31">G31</f>
        <v>0</v>
      </c>
      <c r="H30" s="267">
        <f t="shared" si="1"/>
        <v>0</v>
      </c>
      <c r="I30" s="267">
        <f t="shared" si="1"/>
        <v>0</v>
      </c>
    </row>
    <row r="31" spans="1:9" ht="34.5" customHeight="1" hidden="1">
      <c r="A31" s="60" t="s">
        <v>183</v>
      </c>
      <c r="B31" s="100">
        <v>156</v>
      </c>
      <c r="C31" s="80" t="s">
        <v>170</v>
      </c>
      <c r="D31" s="80" t="s">
        <v>173</v>
      </c>
      <c r="E31" s="61">
        <v>9200000000</v>
      </c>
      <c r="F31" s="61"/>
      <c r="G31" s="266">
        <f t="shared" si="1"/>
        <v>0</v>
      </c>
      <c r="H31" s="266">
        <f t="shared" si="1"/>
        <v>0</v>
      </c>
      <c r="I31" s="266">
        <f t="shared" si="1"/>
        <v>0</v>
      </c>
    </row>
    <row r="32" spans="1:9" ht="30.75" customHeight="1" hidden="1">
      <c r="A32" s="60" t="s">
        <v>184</v>
      </c>
      <c r="B32" s="100">
        <v>156</v>
      </c>
      <c r="C32" s="80" t="s">
        <v>170</v>
      </c>
      <c r="D32" s="80" t="s">
        <v>173</v>
      </c>
      <c r="E32" s="61">
        <v>9200000190</v>
      </c>
      <c r="F32" s="61"/>
      <c r="G32" s="266">
        <f>G33+G34+G35+G36</f>
        <v>0</v>
      </c>
      <c r="H32" s="266">
        <f>H33+H34+H35+H36</f>
        <v>0</v>
      </c>
      <c r="I32" s="266">
        <f>I33+I34+I35+I36</f>
        <v>0</v>
      </c>
    </row>
    <row r="33" spans="1:9" ht="33.75" customHeight="1" hidden="1">
      <c r="A33" s="60" t="s">
        <v>95</v>
      </c>
      <c r="B33" s="100">
        <v>156</v>
      </c>
      <c r="C33" s="80" t="s">
        <v>170</v>
      </c>
      <c r="D33" s="80" t="s">
        <v>173</v>
      </c>
      <c r="E33" s="61">
        <v>9200000190</v>
      </c>
      <c r="F33" s="61">
        <v>123</v>
      </c>
      <c r="G33" s="266">
        <f>10-10</f>
        <v>0</v>
      </c>
      <c r="H33" s="266">
        <v>0</v>
      </c>
      <c r="I33" s="266">
        <v>0</v>
      </c>
    </row>
    <row r="34" spans="1:9" ht="34.5" customHeight="1" hidden="1">
      <c r="A34" s="60" t="s">
        <v>302</v>
      </c>
      <c r="B34" s="100">
        <v>156</v>
      </c>
      <c r="C34" s="80" t="s">
        <v>170</v>
      </c>
      <c r="D34" s="80" t="s">
        <v>173</v>
      </c>
      <c r="E34" s="61">
        <v>9200000190</v>
      </c>
      <c r="F34" s="61">
        <v>244</v>
      </c>
      <c r="G34" s="266">
        <f>29.6-29.6</f>
        <v>0</v>
      </c>
      <c r="H34" s="266">
        <v>0</v>
      </c>
      <c r="I34" s="266">
        <v>0</v>
      </c>
    </row>
    <row r="35" spans="1:9" ht="34.5" customHeight="1" hidden="1">
      <c r="A35" s="60" t="s">
        <v>219</v>
      </c>
      <c r="B35" s="100">
        <v>156</v>
      </c>
      <c r="C35" s="80" t="s">
        <v>170</v>
      </c>
      <c r="D35" s="80" t="s">
        <v>173</v>
      </c>
      <c r="E35" s="61">
        <v>9200000190</v>
      </c>
      <c r="F35" s="61">
        <v>831</v>
      </c>
      <c r="G35" s="266">
        <v>0</v>
      </c>
      <c r="H35" s="266">
        <v>0</v>
      </c>
      <c r="I35" s="266">
        <v>0</v>
      </c>
    </row>
    <row r="36" spans="1:9" ht="24.75" customHeight="1" hidden="1">
      <c r="A36" s="81" t="s">
        <v>0</v>
      </c>
      <c r="B36" s="100">
        <v>156</v>
      </c>
      <c r="C36" s="80" t="s">
        <v>170</v>
      </c>
      <c r="D36" s="80" t="s">
        <v>173</v>
      </c>
      <c r="E36" s="61">
        <v>9200000190</v>
      </c>
      <c r="F36" s="61">
        <v>853</v>
      </c>
      <c r="G36" s="266">
        <f>0.5-0.5</f>
        <v>0</v>
      </c>
      <c r="H36" s="266"/>
      <c r="I36" s="266">
        <v>0</v>
      </c>
    </row>
    <row r="37" spans="1:9" ht="46.5" customHeight="1">
      <c r="A37" s="99" t="s">
        <v>186</v>
      </c>
      <c r="B37" s="100">
        <v>156</v>
      </c>
      <c r="C37" s="91" t="s">
        <v>170</v>
      </c>
      <c r="D37" s="91" t="s">
        <v>174</v>
      </c>
      <c r="E37" s="100"/>
      <c r="F37" s="100"/>
      <c r="G37" s="267">
        <f>G40+G45+G47+G49+G51+G53+G55+G57</f>
        <v>6303.700000000001</v>
      </c>
      <c r="H37" s="267">
        <f>H40+H45+H47+H49+H51+H53+H55+H57</f>
        <v>4939.9</v>
      </c>
      <c r="I37" s="267">
        <f>I40+I45+I47+I49+I51+I53+I55+I57</f>
        <v>4939.9</v>
      </c>
    </row>
    <row r="38" spans="1:9" ht="33" customHeight="1" hidden="1">
      <c r="A38" s="60" t="s">
        <v>179</v>
      </c>
      <c r="B38" s="100">
        <v>156</v>
      </c>
      <c r="C38" s="80" t="s">
        <v>170</v>
      </c>
      <c r="D38" s="80" t="s">
        <v>174</v>
      </c>
      <c r="E38" s="61"/>
      <c r="F38" s="61"/>
      <c r="G38" s="266"/>
      <c r="H38" s="266"/>
      <c r="I38" s="266"/>
    </row>
    <row r="39" spans="1:9" ht="30" customHeight="1">
      <c r="A39" s="60" t="s">
        <v>179</v>
      </c>
      <c r="B39" s="100">
        <v>156</v>
      </c>
      <c r="C39" s="80" t="s">
        <v>170</v>
      </c>
      <c r="D39" s="80" t="s">
        <v>174</v>
      </c>
      <c r="E39" s="61">
        <v>9100000000</v>
      </c>
      <c r="F39" s="61"/>
      <c r="G39" s="266">
        <f>G40+G45+G47+G49+G51+G53+G55+G57</f>
        <v>6303.700000000001</v>
      </c>
      <c r="H39" s="266">
        <f>H40+H45+H47+H49+H51+H53+H55+H57</f>
        <v>4939.9</v>
      </c>
      <c r="I39" s="266">
        <f>I40+I45+I47+I49+I51+I53+I55+I57</f>
        <v>4939.9</v>
      </c>
    </row>
    <row r="40" spans="1:9" ht="32.25" customHeight="1">
      <c r="A40" s="60" t="s">
        <v>363</v>
      </c>
      <c r="B40" s="100">
        <v>156</v>
      </c>
      <c r="C40" s="80" t="s">
        <v>170</v>
      </c>
      <c r="D40" s="80" t="s">
        <v>174</v>
      </c>
      <c r="E40" s="61">
        <v>9100000190</v>
      </c>
      <c r="F40" s="61"/>
      <c r="G40" s="266">
        <f>G41+G42+G43+G44</f>
        <v>3644.7000000000003</v>
      </c>
      <c r="H40" s="266">
        <f>H41+H42+H43+H44</f>
        <v>3889.9</v>
      </c>
      <c r="I40" s="266">
        <f>I41+I42+I43+I44</f>
        <v>3889.9</v>
      </c>
    </row>
    <row r="41" spans="1:9" ht="30.75" customHeight="1">
      <c r="A41" s="133" t="s">
        <v>574</v>
      </c>
      <c r="B41" s="100">
        <v>156</v>
      </c>
      <c r="C41" s="80" t="s">
        <v>170</v>
      </c>
      <c r="D41" s="80" t="s">
        <v>174</v>
      </c>
      <c r="E41" s="61">
        <v>9100000190</v>
      </c>
      <c r="F41" s="95">
        <v>120</v>
      </c>
      <c r="G41" s="266">
        <f>2369.7-34.1+1.8+716.4-267+300-200+192+58+120+69.5-102.9</f>
        <v>3223.4</v>
      </c>
      <c r="H41" s="266">
        <f>2369.7+1.8+716.4</f>
        <v>3087.9</v>
      </c>
      <c r="I41" s="266">
        <f>2369.7+1.8+716.4</f>
        <v>3087.9</v>
      </c>
    </row>
    <row r="42" spans="1:9" ht="48" customHeight="1">
      <c r="A42" s="133" t="s">
        <v>575</v>
      </c>
      <c r="B42" s="100">
        <v>156</v>
      </c>
      <c r="C42" s="80" t="s">
        <v>170</v>
      </c>
      <c r="D42" s="80" t="s">
        <v>174</v>
      </c>
      <c r="E42" s="61">
        <v>9100000190</v>
      </c>
      <c r="F42" s="95">
        <v>240</v>
      </c>
      <c r="G42" s="266">
        <f>113+130+168.5-89.6-37.2+40-24.2+126-48</f>
        <v>378.5</v>
      </c>
      <c r="H42" s="266">
        <f>500+300</f>
        <v>800</v>
      </c>
      <c r="I42" s="266">
        <f>500+300</f>
        <v>800</v>
      </c>
    </row>
    <row r="43" spans="1:9" ht="33" customHeight="1">
      <c r="A43" s="133" t="s">
        <v>576</v>
      </c>
      <c r="B43" s="100">
        <v>156</v>
      </c>
      <c r="C43" s="80" t="s">
        <v>170</v>
      </c>
      <c r="D43" s="80" t="s">
        <v>174</v>
      </c>
      <c r="E43" s="61">
        <v>9100000190</v>
      </c>
      <c r="F43" s="95">
        <v>320</v>
      </c>
      <c r="G43" s="266">
        <f>34.1+8.3</f>
        <v>42.400000000000006</v>
      </c>
      <c r="H43" s="266">
        <v>0</v>
      </c>
      <c r="I43" s="266">
        <v>0</v>
      </c>
    </row>
    <row r="44" spans="1:9" ht="17.25" customHeight="1">
      <c r="A44" s="133" t="s">
        <v>579</v>
      </c>
      <c r="B44" s="100">
        <v>156</v>
      </c>
      <c r="C44" s="80" t="s">
        <v>170</v>
      </c>
      <c r="D44" s="80" t="s">
        <v>174</v>
      </c>
      <c r="E44" s="61">
        <v>9100000190</v>
      </c>
      <c r="F44" s="95">
        <v>850</v>
      </c>
      <c r="G44" s="266">
        <f>1+1-1.6</f>
        <v>0.3999999999999999</v>
      </c>
      <c r="H44" s="266">
        <f>1+1</f>
        <v>2</v>
      </c>
      <c r="I44" s="266">
        <f>1+1</f>
        <v>2</v>
      </c>
    </row>
    <row r="45" spans="1:9" ht="67.5" customHeight="1">
      <c r="A45" s="60" t="s">
        <v>447</v>
      </c>
      <c r="B45" s="100">
        <v>156</v>
      </c>
      <c r="C45" s="80" t="s">
        <v>170</v>
      </c>
      <c r="D45" s="80" t="s">
        <v>174</v>
      </c>
      <c r="E45" s="61">
        <v>9100070030</v>
      </c>
      <c r="F45" s="95"/>
      <c r="G45" s="266">
        <f>G46</f>
        <v>1260</v>
      </c>
      <c r="H45" s="266">
        <f>H46</f>
        <v>1050</v>
      </c>
      <c r="I45" s="266">
        <f>I46</f>
        <v>1050</v>
      </c>
    </row>
    <row r="46" spans="1:9" ht="30" customHeight="1">
      <c r="A46" s="133" t="s">
        <v>574</v>
      </c>
      <c r="B46" s="100">
        <v>156</v>
      </c>
      <c r="C46" s="80" t="s">
        <v>170</v>
      </c>
      <c r="D46" s="80" t="s">
        <v>174</v>
      </c>
      <c r="E46" s="61">
        <v>9100070030</v>
      </c>
      <c r="F46" s="95">
        <v>120</v>
      </c>
      <c r="G46" s="266">
        <f>807+243+210</f>
        <v>1260</v>
      </c>
      <c r="H46" s="266">
        <f>807+243</f>
        <v>1050</v>
      </c>
      <c r="I46" s="266">
        <f>807+243</f>
        <v>1050</v>
      </c>
    </row>
    <row r="47" spans="1:9" ht="47.25" customHeight="1">
      <c r="A47" s="60" t="s">
        <v>252</v>
      </c>
      <c r="B47" s="100">
        <v>156</v>
      </c>
      <c r="C47" s="82" t="s">
        <v>170</v>
      </c>
      <c r="D47" s="82" t="s">
        <v>174</v>
      </c>
      <c r="E47" s="83">
        <v>9100090110</v>
      </c>
      <c r="F47" s="83"/>
      <c r="G47" s="266">
        <f>G48</f>
        <v>459</v>
      </c>
      <c r="H47" s="266">
        <f>H48</f>
        <v>0</v>
      </c>
      <c r="I47" s="266">
        <f>I48</f>
        <v>0</v>
      </c>
    </row>
    <row r="48" spans="1:9" ht="15.75">
      <c r="A48" s="60" t="s">
        <v>188</v>
      </c>
      <c r="B48" s="100">
        <v>156</v>
      </c>
      <c r="C48" s="82" t="s">
        <v>170</v>
      </c>
      <c r="D48" s="82" t="s">
        <v>174</v>
      </c>
      <c r="E48" s="83">
        <v>9100090110</v>
      </c>
      <c r="F48" s="83">
        <v>540</v>
      </c>
      <c r="G48" s="266">
        <f>444.1+14.9</f>
        <v>459</v>
      </c>
      <c r="H48" s="188">
        <v>0</v>
      </c>
      <c r="I48" s="188">
        <v>0</v>
      </c>
    </row>
    <row r="49" spans="1:9" ht="110.25">
      <c r="A49" s="198" t="s">
        <v>367</v>
      </c>
      <c r="B49" s="100">
        <v>156</v>
      </c>
      <c r="C49" s="80" t="s">
        <v>170</v>
      </c>
      <c r="D49" s="80" t="s">
        <v>174</v>
      </c>
      <c r="E49" s="61">
        <v>9100090120</v>
      </c>
      <c r="F49" s="61"/>
      <c r="G49" s="266">
        <f>G50</f>
        <v>136.7</v>
      </c>
      <c r="H49" s="266">
        <f>H50</f>
        <v>0</v>
      </c>
      <c r="I49" s="266">
        <f>I50</f>
        <v>0</v>
      </c>
    </row>
    <row r="50" spans="1:9" ht="15.75">
      <c r="A50" s="60" t="s">
        <v>188</v>
      </c>
      <c r="B50" s="100">
        <v>156</v>
      </c>
      <c r="C50" s="80" t="s">
        <v>170</v>
      </c>
      <c r="D50" s="80" t="s">
        <v>174</v>
      </c>
      <c r="E50" s="61">
        <v>9100090120</v>
      </c>
      <c r="F50" s="61">
        <v>540</v>
      </c>
      <c r="G50" s="266">
        <v>136.7</v>
      </c>
      <c r="H50" s="188">
        <v>0</v>
      </c>
      <c r="I50" s="188">
        <v>0</v>
      </c>
    </row>
    <row r="51" spans="1:9" ht="111.75" customHeight="1">
      <c r="A51" s="198" t="s">
        <v>365</v>
      </c>
      <c r="B51" s="100">
        <v>156</v>
      </c>
      <c r="C51" s="80" t="s">
        <v>170</v>
      </c>
      <c r="D51" s="80" t="s">
        <v>174</v>
      </c>
      <c r="E51" s="61">
        <v>9100090150</v>
      </c>
      <c r="F51" s="61"/>
      <c r="G51" s="266">
        <f>G52</f>
        <v>79.5</v>
      </c>
      <c r="H51" s="266">
        <f>H52</f>
        <v>0</v>
      </c>
      <c r="I51" s="266">
        <f>I52</f>
        <v>0</v>
      </c>
    </row>
    <row r="52" spans="1:9" ht="15.75">
      <c r="A52" s="60" t="s">
        <v>188</v>
      </c>
      <c r="B52" s="100">
        <v>156</v>
      </c>
      <c r="C52" s="80" t="s">
        <v>170</v>
      </c>
      <c r="D52" s="80" t="s">
        <v>174</v>
      </c>
      <c r="E52" s="61">
        <v>9100090150</v>
      </c>
      <c r="F52" s="61">
        <v>540</v>
      </c>
      <c r="G52" s="266">
        <f>84.5-7.9+2.9</f>
        <v>79.5</v>
      </c>
      <c r="H52" s="188">
        <v>0</v>
      </c>
      <c r="I52" s="188">
        <v>0</v>
      </c>
    </row>
    <row r="53" spans="1:9" ht="76.5" customHeight="1">
      <c r="A53" s="62" t="s">
        <v>366</v>
      </c>
      <c r="B53" s="100">
        <v>156</v>
      </c>
      <c r="C53" s="80" t="s">
        <v>170</v>
      </c>
      <c r="D53" s="80" t="s">
        <v>174</v>
      </c>
      <c r="E53" s="61">
        <v>9100090160</v>
      </c>
      <c r="F53" s="61"/>
      <c r="G53" s="266">
        <f>G54</f>
        <v>122.8</v>
      </c>
      <c r="H53" s="266">
        <f>H54</f>
        <v>0</v>
      </c>
      <c r="I53" s="266">
        <f>I54</f>
        <v>0</v>
      </c>
    </row>
    <row r="54" spans="1:9" ht="21" customHeight="1">
      <c r="A54" s="60" t="s">
        <v>188</v>
      </c>
      <c r="B54" s="100">
        <v>156</v>
      </c>
      <c r="C54" s="80" t="s">
        <v>170</v>
      </c>
      <c r="D54" s="80" t="s">
        <v>174</v>
      </c>
      <c r="E54" s="61">
        <v>9100090160</v>
      </c>
      <c r="F54" s="61">
        <v>540</v>
      </c>
      <c r="G54" s="266">
        <v>122.8</v>
      </c>
      <c r="H54" s="188">
        <v>0</v>
      </c>
      <c r="I54" s="188">
        <v>0</v>
      </c>
    </row>
    <row r="55" spans="1:9" ht="31.5" customHeight="1">
      <c r="A55" s="199" t="s">
        <v>534</v>
      </c>
      <c r="B55" s="100">
        <v>156</v>
      </c>
      <c r="C55" s="82" t="s">
        <v>170</v>
      </c>
      <c r="D55" s="82" t="s">
        <v>174</v>
      </c>
      <c r="E55" s="83">
        <v>9100090210</v>
      </c>
      <c r="F55" s="83"/>
      <c r="G55" s="266">
        <f>G56</f>
        <v>444.3</v>
      </c>
      <c r="H55" s="266">
        <f>H56</f>
        <v>0</v>
      </c>
      <c r="I55" s="266">
        <f>I56</f>
        <v>0</v>
      </c>
    </row>
    <row r="56" spans="1:9" ht="15.75">
      <c r="A56" s="60" t="s">
        <v>188</v>
      </c>
      <c r="B56" s="100">
        <v>156</v>
      </c>
      <c r="C56" s="82" t="s">
        <v>170</v>
      </c>
      <c r="D56" s="82" t="s">
        <v>174</v>
      </c>
      <c r="E56" s="83">
        <v>9100090210</v>
      </c>
      <c r="F56" s="83">
        <v>540</v>
      </c>
      <c r="G56" s="266">
        <f>424.1-5.6+25.8</f>
        <v>444.3</v>
      </c>
      <c r="H56" s="188">
        <v>0</v>
      </c>
      <c r="I56" s="188">
        <v>0</v>
      </c>
    </row>
    <row r="57" spans="1:9" ht="32.25" customHeight="1">
      <c r="A57" s="60" t="s">
        <v>253</v>
      </c>
      <c r="B57" s="100">
        <v>156</v>
      </c>
      <c r="C57" s="82" t="s">
        <v>170</v>
      </c>
      <c r="D57" s="82" t="s">
        <v>174</v>
      </c>
      <c r="E57" s="83">
        <v>9100090220</v>
      </c>
      <c r="F57" s="83"/>
      <c r="G57" s="266">
        <f>G58</f>
        <v>156.7</v>
      </c>
      <c r="H57" s="266">
        <f>H58</f>
        <v>0</v>
      </c>
      <c r="I57" s="266">
        <f>I58</f>
        <v>0</v>
      </c>
    </row>
    <row r="58" spans="1:9" ht="15.75">
      <c r="A58" s="60" t="s">
        <v>188</v>
      </c>
      <c r="B58" s="100">
        <v>156</v>
      </c>
      <c r="C58" s="82" t="s">
        <v>170</v>
      </c>
      <c r="D58" s="82" t="s">
        <v>174</v>
      </c>
      <c r="E58" s="83">
        <v>9100090220</v>
      </c>
      <c r="F58" s="83">
        <v>540</v>
      </c>
      <c r="G58" s="266">
        <f>153.1+3.6</f>
        <v>156.7</v>
      </c>
      <c r="H58" s="188"/>
      <c r="I58" s="188"/>
    </row>
    <row r="59" spans="1:9" ht="48.75" customHeight="1">
      <c r="A59" s="99" t="s">
        <v>360</v>
      </c>
      <c r="B59" s="100">
        <v>156</v>
      </c>
      <c r="C59" s="91" t="s">
        <v>170</v>
      </c>
      <c r="D59" s="91" t="s">
        <v>107</v>
      </c>
      <c r="E59" s="100"/>
      <c r="F59" s="100"/>
      <c r="G59" s="267">
        <f aca="true" t="shared" si="2" ref="G59:I60">G60</f>
        <v>79.9</v>
      </c>
      <c r="H59" s="267">
        <f t="shared" si="2"/>
        <v>0</v>
      </c>
      <c r="I59" s="267">
        <f t="shared" si="2"/>
        <v>0</v>
      </c>
    </row>
    <row r="60" spans="1:9" ht="30.75" customHeight="1">
      <c r="A60" s="60" t="s">
        <v>368</v>
      </c>
      <c r="B60" s="100">
        <v>156</v>
      </c>
      <c r="C60" s="80" t="s">
        <v>170</v>
      </c>
      <c r="D60" s="80" t="s">
        <v>107</v>
      </c>
      <c r="E60" s="61">
        <v>9100090130</v>
      </c>
      <c r="F60" s="61"/>
      <c r="G60" s="267">
        <f t="shared" si="2"/>
        <v>79.9</v>
      </c>
      <c r="H60" s="267">
        <f t="shared" si="2"/>
        <v>0</v>
      </c>
      <c r="I60" s="267">
        <f t="shared" si="2"/>
        <v>0</v>
      </c>
    </row>
    <row r="61" spans="1:9" ht="15.75">
      <c r="A61" s="60" t="s">
        <v>188</v>
      </c>
      <c r="B61" s="100">
        <v>156</v>
      </c>
      <c r="C61" s="80" t="s">
        <v>170</v>
      </c>
      <c r="D61" s="80" t="s">
        <v>107</v>
      </c>
      <c r="E61" s="61">
        <v>9100090130</v>
      </c>
      <c r="F61" s="61">
        <v>540</v>
      </c>
      <c r="G61" s="266">
        <f>78.2-0.7+2.4</f>
        <v>79.9</v>
      </c>
      <c r="H61" s="268">
        <v>0</v>
      </c>
      <c r="I61" s="268">
        <v>0</v>
      </c>
    </row>
    <row r="62" spans="1:9" ht="31.5" hidden="1">
      <c r="A62" s="99" t="s">
        <v>209</v>
      </c>
      <c r="B62" s="100">
        <v>156</v>
      </c>
      <c r="C62" s="91" t="s">
        <v>170</v>
      </c>
      <c r="D62" s="91" t="s">
        <v>110</v>
      </c>
      <c r="E62" s="100"/>
      <c r="F62" s="100"/>
      <c r="G62" s="184">
        <f aca="true" t="shared" si="3" ref="G62:I63">G63</f>
        <v>0</v>
      </c>
      <c r="H62" s="184">
        <f t="shared" si="3"/>
        <v>0</v>
      </c>
      <c r="I62" s="184">
        <f t="shared" si="3"/>
        <v>0</v>
      </c>
    </row>
    <row r="63" spans="1:9" ht="31.5" hidden="1">
      <c r="A63" s="60" t="s">
        <v>210</v>
      </c>
      <c r="B63" s="100">
        <v>156</v>
      </c>
      <c r="C63" s="80" t="s">
        <v>170</v>
      </c>
      <c r="D63" s="80" t="s">
        <v>110</v>
      </c>
      <c r="E63" s="61">
        <v>9100000000</v>
      </c>
      <c r="F63" s="61"/>
      <c r="G63" s="180">
        <f t="shared" si="3"/>
        <v>0</v>
      </c>
      <c r="H63" s="180">
        <f t="shared" si="3"/>
        <v>0</v>
      </c>
      <c r="I63" s="180">
        <f t="shared" si="3"/>
        <v>0</v>
      </c>
    </row>
    <row r="64" spans="1:9" ht="18" customHeight="1" hidden="1">
      <c r="A64" s="60" t="s">
        <v>185</v>
      </c>
      <c r="B64" s="100">
        <v>156</v>
      </c>
      <c r="C64" s="80" t="s">
        <v>170</v>
      </c>
      <c r="D64" s="80" t="s">
        <v>110</v>
      </c>
      <c r="E64" s="61">
        <v>9100023080</v>
      </c>
      <c r="F64" s="61">
        <v>244</v>
      </c>
      <c r="G64" s="180"/>
      <c r="H64" s="181"/>
      <c r="I64" s="181"/>
    </row>
    <row r="65" spans="1:9" ht="17.25" customHeight="1">
      <c r="A65" s="99" t="s">
        <v>148</v>
      </c>
      <c r="B65" s="100">
        <v>156</v>
      </c>
      <c r="C65" s="91" t="s">
        <v>170</v>
      </c>
      <c r="D65" s="91">
        <v>11</v>
      </c>
      <c r="E65" s="100"/>
      <c r="F65" s="100"/>
      <c r="G65" s="267">
        <f aca="true" t="shared" si="4" ref="G65:I66">G67</f>
        <v>0</v>
      </c>
      <c r="H65" s="267">
        <f t="shared" si="4"/>
        <v>300</v>
      </c>
      <c r="I65" s="267">
        <f t="shared" si="4"/>
        <v>300</v>
      </c>
    </row>
    <row r="66" spans="1:9" ht="16.5" customHeight="1" hidden="1">
      <c r="A66" s="60" t="s">
        <v>148</v>
      </c>
      <c r="B66" s="100">
        <v>156</v>
      </c>
      <c r="C66" s="80" t="s">
        <v>170</v>
      </c>
      <c r="D66" s="80">
        <v>11</v>
      </c>
      <c r="E66" s="61">
        <v>7000000000</v>
      </c>
      <c r="F66" s="61"/>
      <c r="G66" s="266">
        <f t="shared" si="4"/>
        <v>0</v>
      </c>
      <c r="H66" s="266">
        <f t="shared" si="4"/>
        <v>300</v>
      </c>
      <c r="I66" s="266">
        <f t="shared" si="4"/>
        <v>300</v>
      </c>
    </row>
    <row r="67" spans="1:9" ht="17.25" customHeight="1">
      <c r="A67" s="60" t="s">
        <v>189</v>
      </c>
      <c r="B67" s="100">
        <v>156</v>
      </c>
      <c r="C67" s="80" t="s">
        <v>170</v>
      </c>
      <c r="D67" s="80">
        <v>11</v>
      </c>
      <c r="E67" s="61">
        <v>7050000000</v>
      </c>
      <c r="F67" s="61"/>
      <c r="G67" s="266">
        <f>G68</f>
        <v>0</v>
      </c>
      <c r="H67" s="266">
        <f>H68</f>
        <v>300</v>
      </c>
      <c r="I67" s="266">
        <f>I68</f>
        <v>300</v>
      </c>
    </row>
    <row r="68" spans="1:9" ht="15.75" customHeight="1">
      <c r="A68" s="60" t="s">
        <v>190</v>
      </c>
      <c r="B68" s="100">
        <v>156</v>
      </c>
      <c r="C68" s="80" t="s">
        <v>170</v>
      </c>
      <c r="D68" s="80">
        <v>11</v>
      </c>
      <c r="E68" s="61">
        <v>7050000000</v>
      </c>
      <c r="F68" s="95">
        <v>870</v>
      </c>
      <c r="G68" s="266">
        <f>100-100</f>
        <v>0</v>
      </c>
      <c r="H68" s="268">
        <v>300</v>
      </c>
      <c r="I68" s="268">
        <v>300</v>
      </c>
    </row>
    <row r="69" spans="1:9" ht="15.75">
      <c r="A69" s="99" t="s">
        <v>149</v>
      </c>
      <c r="B69" s="100">
        <v>156</v>
      </c>
      <c r="C69" s="91" t="s">
        <v>170</v>
      </c>
      <c r="D69" s="91">
        <v>13</v>
      </c>
      <c r="E69" s="100"/>
      <c r="F69" s="100"/>
      <c r="G69" s="267">
        <f>+G71+G75+G78+G80+G82+G86+G84+G88++G90+G92</f>
        <v>6303.099999999999</v>
      </c>
      <c r="H69" s="267">
        <f>+H71+H75+H78+H80+H82+H86+H84+H88++H90</f>
        <v>195</v>
      </c>
      <c r="I69" s="267">
        <f>+I71+I75+I78+I80+I82+I86+I84+I88++I90</f>
        <v>5195</v>
      </c>
    </row>
    <row r="70" spans="1:9" ht="32.25" customHeight="1" hidden="1">
      <c r="A70" s="60" t="s">
        <v>191</v>
      </c>
      <c r="B70" s="103">
        <v>156</v>
      </c>
      <c r="C70" s="80" t="s">
        <v>170</v>
      </c>
      <c r="D70" s="80">
        <v>13</v>
      </c>
      <c r="E70" s="61"/>
      <c r="F70" s="61"/>
      <c r="G70" s="266">
        <f>G71</f>
        <v>3600.8999999999996</v>
      </c>
      <c r="H70" s="266">
        <f>H71</f>
        <v>93</v>
      </c>
      <c r="I70" s="266">
        <f>I71</f>
        <v>5093</v>
      </c>
    </row>
    <row r="71" spans="1:9" ht="33" customHeight="1">
      <c r="A71" s="60" t="s">
        <v>363</v>
      </c>
      <c r="B71" s="100">
        <v>156</v>
      </c>
      <c r="C71" s="80" t="s">
        <v>170</v>
      </c>
      <c r="D71" s="80">
        <v>13</v>
      </c>
      <c r="E71" s="61">
        <v>9100000190</v>
      </c>
      <c r="F71" s="61"/>
      <c r="G71" s="266">
        <f>G73+G72+G74</f>
        <v>3600.8999999999996</v>
      </c>
      <c r="H71" s="266">
        <f>H73+H72+H74</f>
        <v>93</v>
      </c>
      <c r="I71" s="266">
        <f>I73+I72+I74</f>
        <v>5093</v>
      </c>
    </row>
    <row r="72" spans="1:9" ht="49.5" customHeight="1">
      <c r="A72" s="133" t="s">
        <v>575</v>
      </c>
      <c r="B72" s="100">
        <v>156</v>
      </c>
      <c r="C72" s="80" t="s">
        <v>170</v>
      </c>
      <c r="D72" s="80" t="s">
        <v>35</v>
      </c>
      <c r="E72" s="61">
        <v>9100000190</v>
      </c>
      <c r="F72" s="95">
        <v>240</v>
      </c>
      <c r="G72" s="266">
        <f>3230+79.5-1310+788.9-150-242.7-256.3-5-65.8+10+80+5+5</f>
        <v>2168.6</v>
      </c>
      <c r="H72" s="268">
        <f>5000-5000</f>
        <v>0</v>
      </c>
      <c r="I72" s="268">
        <v>5000</v>
      </c>
    </row>
    <row r="73" spans="1:9" ht="18.75" customHeight="1">
      <c r="A73" s="60" t="s">
        <v>581</v>
      </c>
      <c r="B73" s="100">
        <v>156</v>
      </c>
      <c r="C73" s="80" t="s">
        <v>170</v>
      </c>
      <c r="D73" s="80">
        <v>13</v>
      </c>
      <c r="E73" s="61">
        <v>9100000190</v>
      </c>
      <c r="F73" s="95">
        <v>830</v>
      </c>
      <c r="G73" s="266">
        <f>2+3+5</f>
        <v>10</v>
      </c>
      <c r="H73" s="268">
        <v>0</v>
      </c>
      <c r="I73" s="268">
        <v>0</v>
      </c>
    </row>
    <row r="74" spans="1:9" ht="16.5" customHeight="1">
      <c r="A74" s="211" t="s">
        <v>579</v>
      </c>
      <c r="B74" s="100">
        <v>156</v>
      </c>
      <c r="C74" s="80" t="s">
        <v>170</v>
      </c>
      <c r="D74" s="80" t="s">
        <v>35</v>
      </c>
      <c r="E74" s="61">
        <v>9100000190</v>
      </c>
      <c r="F74" s="95">
        <v>850</v>
      </c>
      <c r="G74" s="266">
        <f>40+53+14+1090-15.4+250-9.3</f>
        <v>1422.3</v>
      </c>
      <c r="H74" s="268">
        <f>40+53</f>
        <v>93</v>
      </c>
      <c r="I74" s="268">
        <f>40+53</f>
        <v>93</v>
      </c>
    </row>
    <row r="75" spans="1:9" ht="45" customHeight="1">
      <c r="A75" s="39" t="s">
        <v>382</v>
      </c>
      <c r="B75" s="100">
        <v>156</v>
      </c>
      <c r="C75" s="80" t="s">
        <v>170</v>
      </c>
      <c r="D75" s="80" t="s">
        <v>35</v>
      </c>
      <c r="E75" s="61">
        <v>9100020530</v>
      </c>
      <c r="F75" s="95"/>
      <c r="G75" s="266">
        <f>G76+G77</f>
        <v>46</v>
      </c>
      <c r="H75" s="266">
        <f>H76+H77</f>
        <v>100</v>
      </c>
      <c r="I75" s="266">
        <f>I76+I77</f>
        <v>100</v>
      </c>
    </row>
    <row r="76" spans="1:9" ht="48" customHeight="1">
      <c r="A76" s="133" t="s">
        <v>575</v>
      </c>
      <c r="B76" s="100">
        <v>156</v>
      </c>
      <c r="C76" s="80" t="s">
        <v>170</v>
      </c>
      <c r="D76" s="80" t="s">
        <v>35</v>
      </c>
      <c r="E76" s="61">
        <v>9100020530</v>
      </c>
      <c r="F76" s="95">
        <v>240</v>
      </c>
      <c r="G76" s="266">
        <f>75-65+65+14-35.4-8.4</f>
        <v>45.2</v>
      </c>
      <c r="H76" s="268">
        <v>100</v>
      </c>
      <c r="I76" s="268">
        <v>100</v>
      </c>
    </row>
    <row r="77" spans="1:9" ht="22.5" customHeight="1">
      <c r="A77" s="211" t="s">
        <v>579</v>
      </c>
      <c r="B77" s="100">
        <v>156</v>
      </c>
      <c r="C77" s="80" t="s">
        <v>170</v>
      </c>
      <c r="D77" s="80" t="s">
        <v>35</v>
      </c>
      <c r="E77" s="61">
        <v>9100020530</v>
      </c>
      <c r="F77" s="95">
        <v>850</v>
      </c>
      <c r="G77" s="266">
        <f>1-0.2</f>
        <v>0.8</v>
      </c>
      <c r="H77" s="268">
        <v>0</v>
      </c>
      <c r="I77" s="268">
        <v>0</v>
      </c>
    </row>
    <row r="78" spans="1:9" s="41" customFormat="1" ht="110.25" hidden="1">
      <c r="A78" s="200" t="s">
        <v>370</v>
      </c>
      <c r="B78" s="201">
        <v>156</v>
      </c>
      <c r="C78" s="134" t="s">
        <v>170</v>
      </c>
      <c r="D78" s="134" t="s">
        <v>35</v>
      </c>
      <c r="E78" s="95">
        <v>9100072140</v>
      </c>
      <c r="F78" s="95"/>
      <c r="G78" s="180">
        <f>G79</f>
        <v>0</v>
      </c>
      <c r="H78" s="180">
        <f>H79</f>
        <v>0</v>
      </c>
      <c r="I78" s="180">
        <f>I79</f>
        <v>0</v>
      </c>
    </row>
    <row r="79" spans="1:9" s="41" customFormat="1" ht="15.75" hidden="1">
      <c r="A79" s="133" t="s">
        <v>355</v>
      </c>
      <c r="B79" s="201">
        <v>156</v>
      </c>
      <c r="C79" s="134" t="s">
        <v>170</v>
      </c>
      <c r="D79" s="134" t="s">
        <v>35</v>
      </c>
      <c r="E79" s="95">
        <v>9100072140</v>
      </c>
      <c r="F79" s="95">
        <v>244</v>
      </c>
      <c r="G79" s="180">
        <v>0</v>
      </c>
      <c r="H79" s="183">
        <f>0.4-0.4</f>
        <v>0</v>
      </c>
      <c r="I79" s="183">
        <f>0.4-0.4</f>
        <v>0</v>
      </c>
    </row>
    <row r="80" spans="1:9" s="41" customFormat="1" ht="31.5">
      <c r="A80" s="133" t="s">
        <v>390</v>
      </c>
      <c r="B80" s="201">
        <v>156</v>
      </c>
      <c r="C80" s="134" t="s">
        <v>170</v>
      </c>
      <c r="D80" s="134" t="s">
        <v>35</v>
      </c>
      <c r="E80" s="95">
        <v>9100072310</v>
      </c>
      <c r="F80" s="95"/>
      <c r="G80" s="266">
        <f>G81</f>
        <v>2</v>
      </c>
      <c r="H80" s="266">
        <f>H81</f>
        <v>2</v>
      </c>
      <c r="I80" s="266">
        <f>I81</f>
        <v>2</v>
      </c>
    </row>
    <row r="81" spans="1:9" s="41" customFormat="1" ht="48.75" customHeight="1">
      <c r="A81" s="133" t="s">
        <v>575</v>
      </c>
      <c r="B81" s="201">
        <v>156</v>
      </c>
      <c r="C81" s="134" t="s">
        <v>170</v>
      </c>
      <c r="D81" s="134" t="s">
        <v>35</v>
      </c>
      <c r="E81" s="95">
        <v>9100072310</v>
      </c>
      <c r="F81" s="95">
        <v>240</v>
      </c>
      <c r="G81" s="266">
        <v>2</v>
      </c>
      <c r="H81" s="268">
        <v>2</v>
      </c>
      <c r="I81" s="268">
        <v>2</v>
      </c>
    </row>
    <row r="82" spans="1:9" s="41" customFormat="1" ht="78.75">
      <c r="A82" s="133" t="s">
        <v>371</v>
      </c>
      <c r="B82" s="201">
        <v>156</v>
      </c>
      <c r="C82" s="134" t="s">
        <v>170</v>
      </c>
      <c r="D82" s="134" t="s">
        <v>35</v>
      </c>
      <c r="E82" s="95">
        <v>9100090140</v>
      </c>
      <c r="F82" s="95"/>
      <c r="G82" s="266">
        <f>G83</f>
        <v>630.5</v>
      </c>
      <c r="H82" s="266">
        <f>H83</f>
        <v>0</v>
      </c>
      <c r="I82" s="266">
        <f>I83</f>
        <v>0</v>
      </c>
    </row>
    <row r="83" spans="1:9" s="41" customFormat="1" ht="15.75">
      <c r="A83" s="133" t="s">
        <v>188</v>
      </c>
      <c r="B83" s="201">
        <v>156</v>
      </c>
      <c r="C83" s="134" t="s">
        <v>170</v>
      </c>
      <c r="D83" s="134" t="s">
        <v>35</v>
      </c>
      <c r="E83" s="95">
        <v>9100090140</v>
      </c>
      <c r="F83" s="95">
        <v>540</v>
      </c>
      <c r="G83" s="266">
        <f>593.9+36.6</f>
        <v>630.5</v>
      </c>
      <c r="H83" s="268">
        <v>0</v>
      </c>
      <c r="I83" s="268">
        <v>0</v>
      </c>
    </row>
    <row r="84" spans="1:9" ht="96" customHeight="1">
      <c r="A84" s="84" t="s">
        <v>364</v>
      </c>
      <c r="B84" s="100">
        <v>156</v>
      </c>
      <c r="C84" s="82" t="s">
        <v>170</v>
      </c>
      <c r="D84" s="82" t="s">
        <v>35</v>
      </c>
      <c r="E84" s="83">
        <v>9100090190</v>
      </c>
      <c r="F84" s="83"/>
      <c r="G84" s="266">
        <f>G85</f>
        <v>342.9</v>
      </c>
      <c r="H84" s="266">
        <f>H85</f>
        <v>0</v>
      </c>
      <c r="I84" s="266">
        <f>I85</f>
        <v>0</v>
      </c>
    </row>
    <row r="85" spans="1:9" ht="19.5" customHeight="1">
      <c r="A85" s="60" t="s">
        <v>188</v>
      </c>
      <c r="B85" s="100">
        <v>156</v>
      </c>
      <c r="C85" s="82" t="s">
        <v>170</v>
      </c>
      <c r="D85" s="82" t="s">
        <v>35</v>
      </c>
      <c r="E85" s="83">
        <v>9100090190</v>
      </c>
      <c r="F85" s="83">
        <v>540</v>
      </c>
      <c r="G85" s="266">
        <f>344.2-1.3</f>
        <v>342.9</v>
      </c>
      <c r="H85" s="268">
        <v>0</v>
      </c>
      <c r="I85" s="268">
        <v>0</v>
      </c>
    </row>
    <row r="86" spans="1:9" ht="33" customHeight="1">
      <c r="A86" s="133" t="s">
        <v>372</v>
      </c>
      <c r="B86" s="201">
        <v>156</v>
      </c>
      <c r="C86" s="134" t="s">
        <v>170</v>
      </c>
      <c r="D86" s="134" t="s">
        <v>35</v>
      </c>
      <c r="E86" s="95">
        <v>9100090200</v>
      </c>
      <c r="F86" s="95"/>
      <c r="G86" s="266">
        <f>G87</f>
        <v>429.29999999999995</v>
      </c>
      <c r="H86" s="266">
        <f>H87</f>
        <v>0</v>
      </c>
      <c r="I86" s="266">
        <f>I87</f>
        <v>0</v>
      </c>
    </row>
    <row r="87" spans="1:9" ht="19.5" customHeight="1">
      <c r="A87" s="133" t="s">
        <v>188</v>
      </c>
      <c r="B87" s="201">
        <v>156</v>
      </c>
      <c r="C87" s="134" t="s">
        <v>170</v>
      </c>
      <c r="D87" s="134" t="s">
        <v>35</v>
      </c>
      <c r="E87" s="95">
        <v>9100090200</v>
      </c>
      <c r="F87" s="95">
        <v>540</v>
      </c>
      <c r="G87" s="266">
        <f>435.4-6.1</f>
        <v>429.29999999999995</v>
      </c>
      <c r="H87" s="268">
        <v>0</v>
      </c>
      <c r="I87" s="268">
        <v>0</v>
      </c>
    </row>
    <row r="88" spans="1:9" ht="65.25" customHeight="1">
      <c r="A88" s="84" t="s">
        <v>369</v>
      </c>
      <c r="B88" s="100">
        <v>156</v>
      </c>
      <c r="C88" s="82" t="s">
        <v>170</v>
      </c>
      <c r="D88" s="82" t="s">
        <v>35</v>
      </c>
      <c r="E88" s="83">
        <v>9100090230</v>
      </c>
      <c r="F88" s="83"/>
      <c r="G88" s="266">
        <f>G89</f>
        <v>1139.8</v>
      </c>
      <c r="H88" s="266">
        <f>H89</f>
        <v>0</v>
      </c>
      <c r="I88" s="266">
        <f>I89</f>
        <v>0</v>
      </c>
    </row>
    <row r="89" spans="1:9" ht="15.75">
      <c r="A89" s="60" t="s">
        <v>188</v>
      </c>
      <c r="B89" s="100">
        <v>156</v>
      </c>
      <c r="C89" s="82" t="s">
        <v>170</v>
      </c>
      <c r="D89" s="82" t="s">
        <v>35</v>
      </c>
      <c r="E89" s="83">
        <v>9100090230</v>
      </c>
      <c r="F89" s="83">
        <v>540</v>
      </c>
      <c r="G89" s="266">
        <f>1108.2+31.6</f>
        <v>1139.8</v>
      </c>
      <c r="H89" s="188">
        <v>0</v>
      </c>
      <c r="I89" s="188">
        <v>0</v>
      </c>
    </row>
    <row r="90" spans="1:9" ht="48" customHeight="1">
      <c r="A90" s="84" t="s">
        <v>299</v>
      </c>
      <c r="B90" s="100">
        <v>156</v>
      </c>
      <c r="C90" s="82" t="s">
        <v>170</v>
      </c>
      <c r="D90" s="82" t="s">
        <v>35</v>
      </c>
      <c r="E90" s="83">
        <v>9100090260</v>
      </c>
      <c r="F90" s="83"/>
      <c r="G90" s="266">
        <f>G91</f>
        <v>0.4</v>
      </c>
      <c r="H90" s="266">
        <f>H91</f>
        <v>0</v>
      </c>
      <c r="I90" s="266">
        <f>I91</f>
        <v>0</v>
      </c>
    </row>
    <row r="91" spans="1:9" ht="18" customHeight="1">
      <c r="A91" s="60" t="s">
        <v>188</v>
      </c>
      <c r="B91" s="100">
        <v>156</v>
      </c>
      <c r="C91" s="82" t="s">
        <v>170</v>
      </c>
      <c r="D91" s="82" t="s">
        <v>35</v>
      </c>
      <c r="E91" s="83">
        <v>9100090260</v>
      </c>
      <c r="F91" s="83">
        <v>540</v>
      </c>
      <c r="G91" s="266">
        <v>0.4</v>
      </c>
      <c r="H91" s="268">
        <v>0</v>
      </c>
      <c r="I91" s="268">
        <v>0</v>
      </c>
    </row>
    <row r="92" spans="1:9" ht="63.75" customHeight="1">
      <c r="A92" s="60" t="s">
        <v>426</v>
      </c>
      <c r="B92" s="100"/>
      <c r="C92" s="82"/>
      <c r="D92" s="82"/>
      <c r="E92" s="83"/>
      <c r="F92" s="83"/>
      <c r="G92" s="266">
        <f>G93</f>
        <v>111.3</v>
      </c>
      <c r="H92" s="266">
        <f>H93</f>
        <v>0</v>
      </c>
      <c r="I92" s="266">
        <f>I93</f>
        <v>0</v>
      </c>
    </row>
    <row r="93" spans="1:9" ht="18" customHeight="1">
      <c r="A93" s="60" t="s">
        <v>188</v>
      </c>
      <c r="B93" s="100">
        <v>156</v>
      </c>
      <c r="C93" s="82" t="s">
        <v>170</v>
      </c>
      <c r="D93" s="82" t="s">
        <v>35</v>
      </c>
      <c r="E93" s="83">
        <v>9100090280</v>
      </c>
      <c r="F93" s="83">
        <v>540</v>
      </c>
      <c r="G93" s="266">
        <v>111.3</v>
      </c>
      <c r="H93" s="268">
        <v>0</v>
      </c>
      <c r="I93" s="268">
        <v>0</v>
      </c>
    </row>
    <row r="94" spans="1:9" ht="24" customHeight="1">
      <c r="A94" s="98" t="s">
        <v>192</v>
      </c>
      <c r="B94" s="100">
        <v>156</v>
      </c>
      <c r="C94" s="101" t="s">
        <v>172</v>
      </c>
      <c r="D94" s="101" t="s">
        <v>171</v>
      </c>
      <c r="E94" s="77"/>
      <c r="F94" s="77"/>
      <c r="G94" s="269">
        <f>G95</f>
        <v>261.2</v>
      </c>
      <c r="H94" s="269">
        <f aca="true" t="shared" si="5" ref="H94:I97">H95</f>
        <v>263.9</v>
      </c>
      <c r="I94" s="269">
        <f t="shared" si="5"/>
        <v>274.2</v>
      </c>
    </row>
    <row r="95" spans="1:9" ht="17.25" customHeight="1">
      <c r="A95" s="60" t="s">
        <v>151</v>
      </c>
      <c r="B95" s="100">
        <v>156</v>
      </c>
      <c r="C95" s="80" t="s">
        <v>172</v>
      </c>
      <c r="D95" s="80" t="s">
        <v>173</v>
      </c>
      <c r="E95" s="61"/>
      <c r="F95" s="95"/>
      <c r="G95" s="266">
        <f>G96</f>
        <v>261.2</v>
      </c>
      <c r="H95" s="266">
        <f t="shared" si="5"/>
        <v>263.9</v>
      </c>
      <c r="I95" s="266">
        <f t="shared" si="5"/>
        <v>274.2</v>
      </c>
    </row>
    <row r="96" spans="1:9" ht="33" customHeight="1" hidden="1">
      <c r="A96" s="60" t="s">
        <v>179</v>
      </c>
      <c r="B96" s="100">
        <v>156</v>
      </c>
      <c r="C96" s="80" t="s">
        <v>172</v>
      </c>
      <c r="D96" s="80" t="s">
        <v>173</v>
      </c>
      <c r="E96" s="61"/>
      <c r="F96" s="95"/>
      <c r="G96" s="266">
        <f>G97</f>
        <v>261.2</v>
      </c>
      <c r="H96" s="266">
        <f t="shared" si="5"/>
        <v>263.9</v>
      </c>
      <c r="I96" s="266">
        <f t="shared" si="5"/>
        <v>274.2</v>
      </c>
    </row>
    <row r="97" spans="1:9" ht="33.75" customHeight="1" hidden="1">
      <c r="A97" s="60" t="s">
        <v>187</v>
      </c>
      <c r="B97" s="100">
        <v>156</v>
      </c>
      <c r="C97" s="80" t="s">
        <v>172</v>
      </c>
      <c r="D97" s="80" t="s">
        <v>173</v>
      </c>
      <c r="E97" s="61"/>
      <c r="F97" s="95"/>
      <c r="G97" s="266">
        <f>G98</f>
        <v>261.2</v>
      </c>
      <c r="H97" s="266">
        <f t="shared" si="5"/>
        <v>263.9</v>
      </c>
      <c r="I97" s="266">
        <f t="shared" si="5"/>
        <v>274.2</v>
      </c>
    </row>
    <row r="98" spans="1:9" ht="49.5" customHeight="1">
      <c r="A98" s="60" t="s">
        <v>193</v>
      </c>
      <c r="B98" s="100">
        <v>156</v>
      </c>
      <c r="C98" s="80" t="s">
        <v>172</v>
      </c>
      <c r="D98" s="80" t="s">
        <v>173</v>
      </c>
      <c r="E98" s="61">
        <v>9100051180</v>
      </c>
      <c r="F98" s="95"/>
      <c r="G98" s="266">
        <f>G99+G100+G101+G102</f>
        <v>261.2</v>
      </c>
      <c r="H98" s="266">
        <f>H99+H100+H101+H102</f>
        <v>263.9</v>
      </c>
      <c r="I98" s="266">
        <f>I99+I100+I101+I102</f>
        <v>274.2</v>
      </c>
    </row>
    <row r="99" spans="1:9" ht="34.5" customHeight="1">
      <c r="A99" s="133" t="s">
        <v>574</v>
      </c>
      <c r="B99" s="100">
        <v>156</v>
      </c>
      <c r="C99" s="80" t="s">
        <v>172</v>
      </c>
      <c r="D99" s="80" t="s">
        <v>173</v>
      </c>
      <c r="E99" s="61">
        <v>9100051180</v>
      </c>
      <c r="F99" s="95">
        <v>120</v>
      </c>
      <c r="G99" s="266">
        <f>200.6+60.6-1.1-0.5-0.7</f>
        <v>258.9</v>
      </c>
      <c r="H99" s="268">
        <f>202.7+61.2</f>
        <v>263.9</v>
      </c>
      <c r="I99" s="268">
        <f>210.6+63.6</f>
        <v>274.2</v>
      </c>
    </row>
    <row r="100" spans="1:9" ht="23.25" customHeight="1" hidden="1">
      <c r="A100" s="60" t="s">
        <v>254</v>
      </c>
      <c r="B100" s="100">
        <v>156</v>
      </c>
      <c r="C100" s="80" t="s">
        <v>172</v>
      </c>
      <c r="D100" s="80" t="s">
        <v>173</v>
      </c>
      <c r="E100" s="61">
        <v>9100051180</v>
      </c>
      <c r="F100" s="95">
        <v>122</v>
      </c>
      <c r="G100" s="266"/>
      <c r="H100" s="268"/>
      <c r="I100" s="268"/>
    </row>
    <row r="101" spans="1:9" ht="33" customHeight="1" hidden="1">
      <c r="A101" s="60" t="s">
        <v>1</v>
      </c>
      <c r="B101" s="100">
        <v>156</v>
      </c>
      <c r="C101" s="80" t="s">
        <v>172</v>
      </c>
      <c r="D101" s="80" t="s">
        <v>173</v>
      </c>
      <c r="E101" s="61">
        <v>9100051180</v>
      </c>
      <c r="F101" s="202">
        <v>242</v>
      </c>
      <c r="G101" s="180">
        <v>0</v>
      </c>
      <c r="H101" s="183">
        <v>0</v>
      </c>
      <c r="I101" s="183">
        <v>0</v>
      </c>
    </row>
    <row r="102" spans="1:9" ht="51" customHeight="1">
      <c r="A102" s="133" t="s">
        <v>575</v>
      </c>
      <c r="B102" s="100">
        <v>156</v>
      </c>
      <c r="C102" s="80" t="s">
        <v>172</v>
      </c>
      <c r="D102" s="80" t="s">
        <v>173</v>
      </c>
      <c r="E102" s="61">
        <v>9100051180</v>
      </c>
      <c r="F102" s="95">
        <v>240</v>
      </c>
      <c r="G102" s="314">
        <f>1.1+0.5+0.7</f>
        <v>2.3</v>
      </c>
      <c r="H102" s="188">
        <v>0</v>
      </c>
      <c r="I102" s="188">
        <v>0</v>
      </c>
    </row>
    <row r="103" spans="1:13" ht="36.75" customHeight="1">
      <c r="A103" s="98" t="s">
        <v>194</v>
      </c>
      <c r="B103" s="100">
        <v>156</v>
      </c>
      <c r="C103" s="101" t="s">
        <v>173</v>
      </c>
      <c r="D103" s="101" t="s">
        <v>171</v>
      </c>
      <c r="E103" s="77"/>
      <c r="F103" s="208"/>
      <c r="G103" s="269">
        <f>G104+G110</f>
        <v>1816.3</v>
      </c>
      <c r="H103" s="269">
        <f>H104+H110</f>
        <v>400</v>
      </c>
      <c r="I103" s="269">
        <f>I104+I110</f>
        <v>400</v>
      </c>
      <c r="J103" s="30"/>
      <c r="K103" s="30"/>
      <c r="L103" s="30"/>
      <c r="M103" s="30"/>
    </row>
    <row r="104" spans="1:13" ht="46.5" customHeight="1" hidden="1">
      <c r="A104" s="99" t="s">
        <v>33</v>
      </c>
      <c r="B104" s="100">
        <v>156</v>
      </c>
      <c r="C104" s="80" t="s">
        <v>173</v>
      </c>
      <c r="D104" s="80" t="s">
        <v>108</v>
      </c>
      <c r="E104" s="61"/>
      <c r="F104" s="208"/>
      <c r="G104" s="266">
        <f>G105+G108</f>
        <v>0</v>
      </c>
      <c r="H104" s="266">
        <f>H108</f>
        <v>0</v>
      </c>
      <c r="I104" s="266">
        <f>I108</f>
        <v>0</v>
      </c>
      <c r="J104" s="30"/>
      <c r="K104" s="30"/>
      <c r="L104" s="30"/>
      <c r="M104" s="30"/>
    </row>
    <row r="105" spans="1:13" ht="19.5" customHeight="1" hidden="1">
      <c r="A105" s="60" t="s">
        <v>189</v>
      </c>
      <c r="B105" s="100">
        <v>156</v>
      </c>
      <c r="C105" s="80" t="s">
        <v>173</v>
      </c>
      <c r="D105" s="80" t="s">
        <v>108</v>
      </c>
      <c r="E105" s="61">
        <v>7050000000</v>
      </c>
      <c r="F105" s="208"/>
      <c r="G105" s="266">
        <f>G106</f>
        <v>0</v>
      </c>
      <c r="H105" s="266">
        <f>H106</f>
        <v>0</v>
      </c>
      <c r="I105" s="266">
        <f>I106</f>
        <v>0</v>
      </c>
      <c r="J105" s="30"/>
      <c r="K105" s="30"/>
      <c r="L105" s="30"/>
      <c r="M105" s="30"/>
    </row>
    <row r="106" spans="1:13" ht="18.75" customHeight="1" hidden="1">
      <c r="A106" s="60" t="s">
        <v>355</v>
      </c>
      <c r="B106" s="100">
        <v>156</v>
      </c>
      <c r="C106" s="80" t="s">
        <v>173</v>
      </c>
      <c r="D106" s="80" t="s">
        <v>108</v>
      </c>
      <c r="E106" s="61">
        <v>7050000000</v>
      </c>
      <c r="F106" s="95">
        <v>244</v>
      </c>
      <c r="G106" s="266">
        <v>0</v>
      </c>
      <c r="H106" s="266">
        <v>0</v>
      </c>
      <c r="I106" s="266">
        <v>0</v>
      </c>
      <c r="J106" s="30"/>
      <c r="K106" s="30"/>
      <c r="L106" s="30"/>
      <c r="M106" s="30"/>
    </row>
    <row r="107" spans="1:9" ht="31.5" hidden="1">
      <c r="A107" s="60" t="s">
        <v>195</v>
      </c>
      <c r="B107" s="100">
        <v>156</v>
      </c>
      <c r="C107" s="80" t="s">
        <v>173</v>
      </c>
      <c r="D107" s="80" t="s">
        <v>108</v>
      </c>
      <c r="E107" s="61"/>
      <c r="F107" s="209"/>
      <c r="G107" s="266"/>
      <c r="H107" s="268"/>
      <c r="I107" s="268"/>
    </row>
    <row r="108" spans="1:9" ht="46.5" customHeight="1" hidden="1">
      <c r="A108" s="60" t="s">
        <v>214</v>
      </c>
      <c r="B108" s="100">
        <v>156</v>
      </c>
      <c r="C108" s="80" t="s">
        <v>173</v>
      </c>
      <c r="D108" s="80" t="s">
        <v>108</v>
      </c>
      <c r="E108" s="61">
        <v>9100023040</v>
      </c>
      <c r="F108" s="95"/>
      <c r="G108" s="266">
        <f>G109</f>
        <v>0</v>
      </c>
      <c r="H108" s="266">
        <f>H109</f>
        <v>0</v>
      </c>
      <c r="I108" s="266">
        <f>I109</f>
        <v>0</v>
      </c>
    </row>
    <row r="109" spans="1:9" ht="63" customHeight="1" hidden="1">
      <c r="A109" s="60" t="s">
        <v>358</v>
      </c>
      <c r="B109" s="100">
        <v>156</v>
      </c>
      <c r="C109" s="80" t="s">
        <v>173</v>
      </c>
      <c r="D109" s="80" t="s">
        <v>108</v>
      </c>
      <c r="E109" s="61">
        <v>9100023040</v>
      </c>
      <c r="F109" s="95">
        <v>611</v>
      </c>
      <c r="G109" s="266">
        <v>0</v>
      </c>
      <c r="H109" s="268">
        <v>0</v>
      </c>
      <c r="I109" s="268">
        <v>0</v>
      </c>
    </row>
    <row r="110" spans="1:9" ht="49.5" customHeight="1">
      <c r="A110" s="99" t="s">
        <v>549</v>
      </c>
      <c r="B110" s="100">
        <v>156</v>
      </c>
      <c r="C110" s="80" t="s">
        <v>173</v>
      </c>
      <c r="D110" s="80">
        <v>10</v>
      </c>
      <c r="E110" s="61"/>
      <c r="F110" s="95"/>
      <c r="G110" s="266">
        <f>G111</f>
        <v>1816.3</v>
      </c>
      <c r="H110" s="266">
        <f>H111</f>
        <v>400</v>
      </c>
      <c r="I110" s="266">
        <f>I111</f>
        <v>400</v>
      </c>
    </row>
    <row r="111" spans="1:9" ht="80.25" customHeight="1">
      <c r="A111" s="197" t="s">
        <v>550</v>
      </c>
      <c r="B111" s="100">
        <v>156</v>
      </c>
      <c r="C111" s="80" t="s">
        <v>173</v>
      </c>
      <c r="D111" s="80" t="s">
        <v>111</v>
      </c>
      <c r="E111" s="152" t="s">
        <v>456</v>
      </c>
      <c r="F111" s="95"/>
      <c r="G111" s="266">
        <f>G112+G116</f>
        <v>1816.3</v>
      </c>
      <c r="H111" s="266">
        <f>H112+H116</f>
        <v>400</v>
      </c>
      <c r="I111" s="266">
        <f>I112+I116</f>
        <v>400</v>
      </c>
    </row>
    <row r="112" spans="1:9" ht="27.75" customHeight="1">
      <c r="A112" s="196" t="s">
        <v>458</v>
      </c>
      <c r="B112" s="100">
        <v>156</v>
      </c>
      <c r="C112" s="80" t="s">
        <v>173</v>
      </c>
      <c r="D112" s="80" t="s">
        <v>111</v>
      </c>
      <c r="E112" s="154" t="s">
        <v>457</v>
      </c>
      <c r="F112" s="15"/>
      <c r="G112" s="188">
        <f>G113</f>
        <v>60.8</v>
      </c>
      <c r="H112" s="188">
        <f>H113</f>
        <v>100</v>
      </c>
      <c r="I112" s="188">
        <f>I113</f>
        <v>100</v>
      </c>
    </row>
    <row r="113" spans="1:9" ht="18.75" customHeight="1">
      <c r="A113" s="196" t="s">
        <v>373</v>
      </c>
      <c r="B113" s="100">
        <v>156</v>
      </c>
      <c r="C113" s="80" t="s">
        <v>173</v>
      </c>
      <c r="D113" s="80">
        <v>10</v>
      </c>
      <c r="E113" s="61">
        <v>4900123010</v>
      </c>
      <c r="F113" s="95"/>
      <c r="G113" s="266">
        <f>G114+G115</f>
        <v>60.8</v>
      </c>
      <c r="H113" s="266">
        <f>H114+H115</f>
        <v>100</v>
      </c>
      <c r="I113" s="266">
        <f>I114+I115</f>
        <v>100</v>
      </c>
    </row>
    <row r="114" spans="1:9" ht="20.25" customHeight="1" hidden="1">
      <c r="A114" s="60" t="s">
        <v>355</v>
      </c>
      <c r="B114" s="100">
        <v>156</v>
      </c>
      <c r="C114" s="80" t="s">
        <v>173</v>
      </c>
      <c r="D114" s="80">
        <v>10</v>
      </c>
      <c r="E114" s="61">
        <v>4900123010</v>
      </c>
      <c r="F114" s="95">
        <v>244</v>
      </c>
      <c r="G114" s="266">
        <v>0</v>
      </c>
      <c r="H114" s="268">
        <v>0</v>
      </c>
      <c r="I114" s="268">
        <v>0</v>
      </c>
    </row>
    <row r="115" spans="1:9" ht="18" customHeight="1">
      <c r="A115" s="297" t="s">
        <v>577</v>
      </c>
      <c r="B115" s="100">
        <v>156</v>
      </c>
      <c r="C115" s="80" t="s">
        <v>173</v>
      </c>
      <c r="D115" s="80">
        <v>10</v>
      </c>
      <c r="E115" s="61">
        <v>4900123010</v>
      </c>
      <c r="F115" s="95">
        <v>610</v>
      </c>
      <c r="G115" s="266">
        <f>100-70+14.5+16.3</f>
        <v>60.8</v>
      </c>
      <c r="H115" s="268">
        <v>100</v>
      </c>
      <c r="I115" s="268">
        <v>100</v>
      </c>
    </row>
    <row r="116" spans="1:9" ht="29.25" customHeight="1">
      <c r="A116" s="196" t="s">
        <v>519</v>
      </c>
      <c r="B116" s="100">
        <v>156</v>
      </c>
      <c r="C116" s="80" t="s">
        <v>173</v>
      </c>
      <c r="D116" s="80" t="s">
        <v>111</v>
      </c>
      <c r="E116" s="154" t="s">
        <v>518</v>
      </c>
      <c r="F116" s="15"/>
      <c r="G116" s="266">
        <f>G117+G119</f>
        <v>1755.5</v>
      </c>
      <c r="H116" s="266">
        <f>H117+H119</f>
        <v>300</v>
      </c>
      <c r="I116" s="266">
        <f>I117+I119</f>
        <v>300</v>
      </c>
    </row>
    <row r="117" spans="1:9" ht="20.25" customHeight="1">
      <c r="A117" s="196" t="s">
        <v>373</v>
      </c>
      <c r="B117" s="100">
        <v>156</v>
      </c>
      <c r="C117" s="80" t="s">
        <v>173</v>
      </c>
      <c r="D117" s="80">
        <v>10</v>
      </c>
      <c r="E117" s="61">
        <v>4900223010</v>
      </c>
      <c r="F117" s="95"/>
      <c r="G117" s="266">
        <f>G118</f>
        <v>355.5</v>
      </c>
      <c r="H117" s="266">
        <f>H118</f>
        <v>300</v>
      </c>
      <c r="I117" s="266">
        <f>I118</f>
        <v>300</v>
      </c>
    </row>
    <row r="118" spans="1:9" ht="45" customHeight="1">
      <c r="A118" s="133" t="s">
        <v>575</v>
      </c>
      <c r="B118" s="100">
        <v>156</v>
      </c>
      <c r="C118" s="80" t="s">
        <v>173</v>
      </c>
      <c r="D118" s="80">
        <v>10</v>
      </c>
      <c r="E118" s="61">
        <v>4900223010</v>
      </c>
      <c r="F118" s="95">
        <v>240</v>
      </c>
      <c r="G118" s="266">
        <f>300+70-14.5</f>
        <v>355.5</v>
      </c>
      <c r="H118" s="268">
        <v>300</v>
      </c>
      <c r="I118" s="268">
        <v>300</v>
      </c>
    </row>
    <row r="119" spans="1:9" ht="45" customHeight="1">
      <c r="A119" s="60" t="s">
        <v>387</v>
      </c>
      <c r="B119" s="100">
        <v>156</v>
      </c>
      <c r="C119" s="80" t="s">
        <v>173</v>
      </c>
      <c r="D119" s="80">
        <v>10</v>
      </c>
      <c r="E119" s="83" t="s">
        <v>604</v>
      </c>
      <c r="F119" s="95"/>
      <c r="G119" s="266">
        <f>G120</f>
        <v>1400</v>
      </c>
      <c r="H119" s="266">
        <f>H120</f>
        <v>0</v>
      </c>
      <c r="I119" s="266">
        <f>I120</f>
        <v>0</v>
      </c>
    </row>
    <row r="120" spans="1:9" ht="45" customHeight="1">
      <c r="A120" s="304" t="s">
        <v>575</v>
      </c>
      <c r="B120" s="100">
        <v>156</v>
      </c>
      <c r="C120" s="80" t="s">
        <v>173</v>
      </c>
      <c r="D120" s="80">
        <v>10</v>
      </c>
      <c r="E120" s="83" t="s">
        <v>604</v>
      </c>
      <c r="F120" s="95">
        <v>240</v>
      </c>
      <c r="G120" s="266">
        <v>1400</v>
      </c>
      <c r="H120" s="268">
        <v>0</v>
      </c>
      <c r="I120" s="268">
        <v>0</v>
      </c>
    </row>
    <row r="121" spans="1:9" ht="19.5" customHeight="1">
      <c r="A121" s="98" t="s">
        <v>196</v>
      </c>
      <c r="B121" s="100">
        <v>156</v>
      </c>
      <c r="C121" s="101" t="s">
        <v>174</v>
      </c>
      <c r="D121" s="101" t="s">
        <v>171</v>
      </c>
      <c r="E121" s="77"/>
      <c r="F121" s="208"/>
      <c r="G121" s="269">
        <f>G122+G148</f>
        <v>24791.899999999998</v>
      </c>
      <c r="H121" s="269">
        <f>H122+H148</f>
        <v>2295</v>
      </c>
      <c r="I121" s="269">
        <f>I122+I148</f>
        <v>2438</v>
      </c>
    </row>
    <row r="122" spans="1:9" ht="16.5" customHeight="1">
      <c r="A122" s="60" t="s">
        <v>154</v>
      </c>
      <c r="B122" s="100">
        <v>156</v>
      </c>
      <c r="C122" s="80" t="s">
        <v>174</v>
      </c>
      <c r="D122" s="80" t="s">
        <v>108</v>
      </c>
      <c r="E122" s="61"/>
      <c r="F122" s="95"/>
      <c r="G122" s="266">
        <f>G123</f>
        <v>24536.899999999998</v>
      </c>
      <c r="H122" s="266">
        <f>H123</f>
        <v>2295</v>
      </c>
      <c r="I122" s="266">
        <f>I123</f>
        <v>2438</v>
      </c>
    </row>
    <row r="123" spans="1:9" ht="78.75">
      <c r="A123" s="197" t="s">
        <v>429</v>
      </c>
      <c r="B123" s="100">
        <v>156</v>
      </c>
      <c r="C123" s="91" t="s">
        <v>174</v>
      </c>
      <c r="D123" s="91" t="s">
        <v>108</v>
      </c>
      <c r="E123" s="125">
        <v>3900000000</v>
      </c>
      <c r="F123" s="201"/>
      <c r="G123" s="267">
        <f>G124+G131+G136+G139+G142+G145</f>
        <v>24536.899999999998</v>
      </c>
      <c r="H123" s="267">
        <f>H124+H131+H136+H139+H142+H145</f>
        <v>2295</v>
      </c>
      <c r="I123" s="267">
        <f>I124+I131+I136+I139+I142+I145</f>
        <v>2438</v>
      </c>
    </row>
    <row r="124" spans="1:9" ht="63">
      <c r="A124" s="196" t="s">
        <v>490</v>
      </c>
      <c r="B124" s="100">
        <v>156</v>
      </c>
      <c r="C124" s="80" t="s">
        <v>174</v>
      </c>
      <c r="D124" s="80" t="s">
        <v>108</v>
      </c>
      <c r="E124" s="83">
        <v>3900100000</v>
      </c>
      <c r="F124" s="95"/>
      <c r="G124" s="266">
        <f>G125+G128</f>
        <v>3415.1</v>
      </c>
      <c r="H124" s="266">
        <f>H125+H128</f>
        <v>2295</v>
      </c>
      <c r="I124" s="266">
        <f>I125+I128</f>
        <v>2438</v>
      </c>
    </row>
    <row r="125" spans="1:9" ht="15.75">
      <c r="A125" s="196" t="s">
        <v>300</v>
      </c>
      <c r="B125" s="100">
        <v>156</v>
      </c>
      <c r="C125" s="80" t="s">
        <v>174</v>
      </c>
      <c r="D125" s="80" t="s">
        <v>108</v>
      </c>
      <c r="E125" s="83">
        <v>3900120300</v>
      </c>
      <c r="F125" s="95"/>
      <c r="G125" s="266">
        <f>G126+G127</f>
        <v>2673</v>
      </c>
      <c r="H125" s="266">
        <f>H126+H127</f>
        <v>2295</v>
      </c>
      <c r="I125" s="266">
        <f>I126+I127</f>
        <v>2438</v>
      </c>
    </row>
    <row r="126" spans="1:9" ht="47.25">
      <c r="A126" s="133" t="s">
        <v>575</v>
      </c>
      <c r="B126" s="100">
        <v>156</v>
      </c>
      <c r="C126" s="80" t="s">
        <v>174</v>
      </c>
      <c r="D126" s="80" t="s">
        <v>108</v>
      </c>
      <c r="E126" s="83">
        <v>3900120300</v>
      </c>
      <c r="F126" s="95">
        <v>240</v>
      </c>
      <c r="G126" s="266">
        <v>30</v>
      </c>
      <c r="H126" s="266">
        <v>0</v>
      </c>
      <c r="I126" s="266">
        <v>0</v>
      </c>
    </row>
    <row r="127" spans="1:9" ht="15.75">
      <c r="A127" s="133" t="s">
        <v>577</v>
      </c>
      <c r="B127" s="100">
        <v>156</v>
      </c>
      <c r="C127" s="80" t="s">
        <v>174</v>
      </c>
      <c r="D127" s="80" t="s">
        <v>108</v>
      </c>
      <c r="E127" s="83">
        <v>3900120300</v>
      </c>
      <c r="F127" s="95">
        <v>610</v>
      </c>
      <c r="G127" s="273">
        <f>2143+500</f>
        <v>2643</v>
      </c>
      <c r="H127" s="188">
        <v>2295</v>
      </c>
      <c r="I127" s="188">
        <v>2438</v>
      </c>
    </row>
    <row r="128" spans="1:9" ht="47.25">
      <c r="A128" s="60" t="s">
        <v>304</v>
      </c>
      <c r="B128" s="100">
        <v>156</v>
      </c>
      <c r="C128" s="80" t="s">
        <v>174</v>
      </c>
      <c r="D128" s="80" t="s">
        <v>108</v>
      </c>
      <c r="E128" s="83" t="s">
        <v>500</v>
      </c>
      <c r="F128" s="95"/>
      <c r="G128" s="273">
        <f>G129+G130</f>
        <v>742.1</v>
      </c>
      <c r="H128" s="273">
        <f>H129+H130</f>
        <v>0</v>
      </c>
      <c r="I128" s="273">
        <f>I129+I130</f>
        <v>0</v>
      </c>
    </row>
    <row r="129" spans="1:9" ht="47.25">
      <c r="A129" s="133" t="s">
        <v>575</v>
      </c>
      <c r="B129" s="100">
        <v>156</v>
      </c>
      <c r="C129" s="80" t="s">
        <v>174</v>
      </c>
      <c r="D129" s="80" t="s">
        <v>108</v>
      </c>
      <c r="E129" s="83" t="s">
        <v>500</v>
      </c>
      <c r="F129" s="95">
        <v>240</v>
      </c>
      <c r="G129" s="273">
        <f>401.7+180.4</f>
        <v>582.1</v>
      </c>
      <c r="H129" s="273">
        <v>0</v>
      </c>
      <c r="I129" s="273">
        <v>0</v>
      </c>
    </row>
    <row r="130" spans="1:9" ht="15.75">
      <c r="A130" s="60" t="s">
        <v>87</v>
      </c>
      <c r="B130" s="100">
        <v>156</v>
      </c>
      <c r="C130" s="80" t="s">
        <v>174</v>
      </c>
      <c r="D130" s="80" t="s">
        <v>108</v>
      </c>
      <c r="E130" s="83" t="s">
        <v>500</v>
      </c>
      <c r="F130" s="95">
        <v>610</v>
      </c>
      <c r="G130" s="273">
        <v>160</v>
      </c>
      <c r="H130" s="188">
        <v>0</v>
      </c>
      <c r="I130" s="188">
        <v>0</v>
      </c>
    </row>
    <row r="131" spans="1:9" ht="32.25" customHeight="1">
      <c r="A131" s="131" t="s">
        <v>435</v>
      </c>
      <c r="B131" s="100">
        <v>156</v>
      </c>
      <c r="C131" s="82" t="s">
        <v>174</v>
      </c>
      <c r="D131" s="82" t="s">
        <v>108</v>
      </c>
      <c r="E131" s="83">
        <v>3900200000</v>
      </c>
      <c r="F131" s="95"/>
      <c r="G131" s="273">
        <f aca="true" t="shared" si="6" ref="G131:I132">G132</f>
        <v>900.4000000000001</v>
      </c>
      <c r="H131" s="273">
        <f t="shared" si="6"/>
        <v>0</v>
      </c>
      <c r="I131" s="273">
        <f t="shared" si="6"/>
        <v>0</v>
      </c>
    </row>
    <row r="132" spans="1:9" ht="83.25" customHeight="1">
      <c r="A132" s="60" t="s">
        <v>305</v>
      </c>
      <c r="B132" s="100">
        <v>156</v>
      </c>
      <c r="C132" s="82" t="s">
        <v>174</v>
      </c>
      <c r="D132" s="82" t="s">
        <v>108</v>
      </c>
      <c r="E132" s="83" t="s">
        <v>356</v>
      </c>
      <c r="F132" s="95"/>
      <c r="G132" s="273">
        <f t="shared" si="6"/>
        <v>900.4000000000001</v>
      </c>
      <c r="H132" s="273">
        <f t="shared" si="6"/>
        <v>0</v>
      </c>
      <c r="I132" s="273">
        <f t="shared" si="6"/>
        <v>0</v>
      </c>
    </row>
    <row r="133" spans="1:9" ht="48.75" customHeight="1">
      <c r="A133" s="133" t="s">
        <v>575</v>
      </c>
      <c r="B133" s="100">
        <v>156</v>
      </c>
      <c r="C133" s="82" t="s">
        <v>174</v>
      </c>
      <c r="D133" s="82" t="s">
        <v>108</v>
      </c>
      <c r="E133" s="83" t="s">
        <v>356</v>
      </c>
      <c r="F133" s="95">
        <v>240</v>
      </c>
      <c r="G133" s="273">
        <f>1033.5+200-206.3-126.8</f>
        <v>900.4000000000001</v>
      </c>
      <c r="H133" s="273">
        <v>0</v>
      </c>
      <c r="I133" s="273">
        <v>0</v>
      </c>
    </row>
    <row r="134" spans="1:9" ht="80.25" customHeight="1" hidden="1">
      <c r="A134" s="60" t="s">
        <v>306</v>
      </c>
      <c r="B134" s="100">
        <v>156</v>
      </c>
      <c r="C134" s="82" t="s">
        <v>174</v>
      </c>
      <c r="D134" s="82" t="s">
        <v>108</v>
      </c>
      <c r="E134" s="83" t="s">
        <v>307</v>
      </c>
      <c r="F134" s="95"/>
      <c r="G134" s="180">
        <v>0</v>
      </c>
      <c r="H134" s="180">
        <v>0</v>
      </c>
      <c r="I134" s="180"/>
    </row>
    <row r="135" spans="1:9" ht="21.75" customHeight="1" hidden="1">
      <c r="A135" s="60" t="s">
        <v>355</v>
      </c>
      <c r="B135" s="100">
        <v>156</v>
      </c>
      <c r="C135" s="82" t="s">
        <v>174</v>
      </c>
      <c r="D135" s="82" t="s">
        <v>108</v>
      </c>
      <c r="E135" s="83">
        <v>3900720300</v>
      </c>
      <c r="F135" s="95">
        <v>244</v>
      </c>
      <c r="G135" s="180"/>
      <c r="H135" s="180">
        <v>0</v>
      </c>
      <c r="I135" s="180">
        <v>0</v>
      </c>
    </row>
    <row r="136" spans="1:9" ht="29.25" customHeight="1" hidden="1">
      <c r="A136" s="196" t="s">
        <v>445</v>
      </c>
      <c r="B136" s="100">
        <v>156</v>
      </c>
      <c r="C136" s="82" t="s">
        <v>174</v>
      </c>
      <c r="D136" s="82" t="s">
        <v>108</v>
      </c>
      <c r="E136" s="83">
        <v>3900400000</v>
      </c>
      <c r="F136" s="95"/>
      <c r="G136" s="180">
        <f aca="true" t="shared" si="7" ref="G136:I137">G137</f>
        <v>0</v>
      </c>
      <c r="H136" s="180">
        <f t="shared" si="7"/>
        <v>0</v>
      </c>
      <c r="I136" s="180">
        <f t="shared" si="7"/>
        <v>0</v>
      </c>
    </row>
    <row r="137" spans="1:9" ht="15.75" hidden="1">
      <c r="A137" s="60" t="s">
        <v>300</v>
      </c>
      <c r="B137" s="100">
        <v>156</v>
      </c>
      <c r="C137" s="80" t="s">
        <v>174</v>
      </c>
      <c r="D137" s="80" t="s">
        <v>108</v>
      </c>
      <c r="E137" s="83">
        <v>3900420300</v>
      </c>
      <c r="F137" s="95"/>
      <c r="G137" s="180">
        <f t="shared" si="7"/>
        <v>0</v>
      </c>
      <c r="H137" s="180">
        <f t="shared" si="7"/>
        <v>0</v>
      </c>
      <c r="I137" s="180">
        <f t="shared" si="7"/>
        <v>0</v>
      </c>
    </row>
    <row r="138" spans="1:9" ht="21.75" customHeight="1" hidden="1">
      <c r="A138" s="60" t="s">
        <v>355</v>
      </c>
      <c r="B138" s="100">
        <v>156</v>
      </c>
      <c r="C138" s="80" t="s">
        <v>174</v>
      </c>
      <c r="D138" s="80" t="s">
        <v>108</v>
      </c>
      <c r="E138" s="83">
        <v>3900420300</v>
      </c>
      <c r="F138" s="95">
        <v>244</v>
      </c>
      <c r="G138" s="180">
        <v>0</v>
      </c>
      <c r="H138" s="182">
        <v>0</v>
      </c>
      <c r="I138" s="182">
        <v>0</v>
      </c>
    </row>
    <row r="139" spans="1:9" ht="30" customHeight="1">
      <c r="A139" s="131" t="s">
        <v>434</v>
      </c>
      <c r="B139" s="100">
        <v>156</v>
      </c>
      <c r="C139" s="82" t="s">
        <v>174</v>
      </c>
      <c r="D139" s="82" t="s">
        <v>108</v>
      </c>
      <c r="E139" s="83">
        <v>3900500000</v>
      </c>
      <c r="F139" s="95"/>
      <c r="G139" s="273">
        <f aca="true" t="shared" si="8" ref="G139:I140">G140</f>
        <v>18790.199999999997</v>
      </c>
      <c r="H139" s="273">
        <f t="shared" si="8"/>
        <v>0</v>
      </c>
      <c r="I139" s="273">
        <f t="shared" si="8"/>
        <v>0</v>
      </c>
    </row>
    <row r="140" spans="1:9" ht="45" customHeight="1">
      <c r="A140" s="60" t="s">
        <v>304</v>
      </c>
      <c r="B140" s="100">
        <v>156</v>
      </c>
      <c r="C140" s="82" t="s">
        <v>174</v>
      </c>
      <c r="D140" s="82" t="s">
        <v>108</v>
      </c>
      <c r="E140" s="83" t="s">
        <v>433</v>
      </c>
      <c r="F140" s="95"/>
      <c r="G140" s="266">
        <f>G141</f>
        <v>18790.199999999997</v>
      </c>
      <c r="H140" s="266">
        <f t="shared" si="8"/>
        <v>0</v>
      </c>
      <c r="I140" s="266">
        <f t="shared" si="8"/>
        <v>0</v>
      </c>
    </row>
    <row r="141" spans="1:9" ht="50.25" customHeight="1">
      <c r="A141" s="133" t="s">
        <v>575</v>
      </c>
      <c r="B141" s="100">
        <v>156</v>
      </c>
      <c r="C141" s="82" t="s">
        <v>174</v>
      </c>
      <c r="D141" s="82" t="s">
        <v>108</v>
      </c>
      <c r="E141" s="83" t="s">
        <v>433</v>
      </c>
      <c r="F141" s="95">
        <v>240</v>
      </c>
      <c r="G141" s="266">
        <f>15128.6+4795.4-953.4-180.4</f>
        <v>18790.199999999997</v>
      </c>
      <c r="H141" s="266">
        <v>0</v>
      </c>
      <c r="I141" s="266">
        <v>0</v>
      </c>
    </row>
    <row r="142" spans="1:9" ht="45.75" customHeight="1" hidden="1">
      <c r="A142" s="60" t="s">
        <v>448</v>
      </c>
      <c r="B142" s="100">
        <v>156</v>
      </c>
      <c r="C142" s="80" t="s">
        <v>174</v>
      </c>
      <c r="D142" s="80" t="s">
        <v>108</v>
      </c>
      <c r="E142" s="83">
        <v>3900600000</v>
      </c>
      <c r="F142" s="95"/>
      <c r="G142" s="180">
        <f aca="true" t="shared" si="9" ref="G142:I143">G143</f>
        <v>0</v>
      </c>
      <c r="H142" s="180">
        <f t="shared" si="9"/>
        <v>0</v>
      </c>
      <c r="I142" s="180">
        <f t="shared" si="9"/>
        <v>0</v>
      </c>
    </row>
    <row r="143" spans="1:9" ht="18" customHeight="1" hidden="1">
      <c r="A143" s="196" t="s">
        <v>300</v>
      </c>
      <c r="B143" s="100">
        <v>156</v>
      </c>
      <c r="C143" s="80" t="s">
        <v>174</v>
      </c>
      <c r="D143" s="80" t="s">
        <v>108</v>
      </c>
      <c r="E143" s="83">
        <v>3900620300</v>
      </c>
      <c r="F143" s="95"/>
      <c r="G143" s="180">
        <f t="shared" si="9"/>
        <v>0</v>
      </c>
      <c r="H143" s="180">
        <f t="shared" si="9"/>
        <v>0</v>
      </c>
      <c r="I143" s="180">
        <f t="shared" si="9"/>
        <v>0</v>
      </c>
    </row>
    <row r="144" spans="1:9" ht="45.75" customHeight="1" hidden="1">
      <c r="A144" s="60" t="s">
        <v>40</v>
      </c>
      <c r="B144" s="100">
        <v>156</v>
      </c>
      <c r="C144" s="80" t="s">
        <v>174</v>
      </c>
      <c r="D144" s="80" t="s">
        <v>108</v>
      </c>
      <c r="E144" s="83">
        <v>3900620300</v>
      </c>
      <c r="F144" s="95">
        <v>244</v>
      </c>
      <c r="G144" s="180">
        <v>0</v>
      </c>
      <c r="H144" s="180">
        <v>0</v>
      </c>
      <c r="I144" s="180">
        <v>0</v>
      </c>
    </row>
    <row r="145" spans="1:9" ht="16.5" customHeight="1">
      <c r="A145" s="131" t="s">
        <v>520</v>
      </c>
      <c r="B145" s="100">
        <v>156</v>
      </c>
      <c r="C145" s="82" t="s">
        <v>174</v>
      </c>
      <c r="D145" s="82" t="s">
        <v>108</v>
      </c>
      <c r="E145" s="83">
        <v>3900700000</v>
      </c>
      <c r="F145" s="95"/>
      <c r="G145" s="266">
        <f aca="true" t="shared" si="10" ref="G145:I146">G146</f>
        <v>1431.2</v>
      </c>
      <c r="H145" s="266">
        <f t="shared" si="10"/>
        <v>0</v>
      </c>
      <c r="I145" s="266">
        <f t="shared" si="10"/>
        <v>0</v>
      </c>
    </row>
    <row r="146" spans="1:9" ht="22.5" customHeight="1">
      <c r="A146" s="196" t="s">
        <v>300</v>
      </c>
      <c r="B146" s="100">
        <v>156</v>
      </c>
      <c r="C146" s="82" t="s">
        <v>174</v>
      </c>
      <c r="D146" s="82" t="s">
        <v>108</v>
      </c>
      <c r="E146" s="83">
        <v>3900720300</v>
      </c>
      <c r="F146" s="95"/>
      <c r="G146" s="188">
        <f t="shared" si="10"/>
        <v>1431.2</v>
      </c>
      <c r="H146" s="188">
        <f t="shared" si="10"/>
        <v>0</v>
      </c>
      <c r="I146" s="188">
        <f t="shared" si="10"/>
        <v>0</v>
      </c>
    </row>
    <row r="147" spans="1:9" ht="46.5" customHeight="1">
      <c r="A147" s="133" t="s">
        <v>575</v>
      </c>
      <c r="B147" s="100">
        <v>156</v>
      </c>
      <c r="C147" s="82" t="s">
        <v>174</v>
      </c>
      <c r="D147" s="82" t="s">
        <v>108</v>
      </c>
      <c r="E147" s="83">
        <v>3900720300</v>
      </c>
      <c r="F147" s="95">
        <v>240</v>
      </c>
      <c r="G147" s="266">
        <f>75+174.2+1000+182</f>
        <v>1431.2</v>
      </c>
      <c r="H147" s="266">
        <v>0</v>
      </c>
      <c r="I147" s="266">
        <v>0</v>
      </c>
    </row>
    <row r="148" spans="1:9" ht="20.25" customHeight="1">
      <c r="A148" s="98" t="s">
        <v>552</v>
      </c>
      <c r="B148" s="100">
        <v>156</v>
      </c>
      <c r="C148" s="82" t="s">
        <v>174</v>
      </c>
      <c r="D148" s="82" t="s">
        <v>551</v>
      </c>
      <c r="E148" s="83"/>
      <c r="F148" s="95"/>
      <c r="G148" s="266">
        <f>G149+G151</f>
        <v>255.00000000000023</v>
      </c>
      <c r="H148" s="266">
        <f>H149+H151</f>
        <v>0</v>
      </c>
      <c r="I148" s="266">
        <f>I149+I151</f>
        <v>0</v>
      </c>
    </row>
    <row r="149" spans="1:9" ht="19.5" customHeight="1">
      <c r="A149" s="133" t="s">
        <v>606</v>
      </c>
      <c r="B149" s="201">
        <v>156</v>
      </c>
      <c r="C149" s="134" t="s">
        <v>174</v>
      </c>
      <c r="D149" s="134" t="s">
        <v>551</v>
      </c>
      <c r="E149" s="95">
        <v>9100071780</v>
      </c>
      <c r="F149" s="95"/>
      <c r="G149" s="301">
        <f>G150</f>
        <v>255.00000000000023</v>
      </c>
      <c r="H149" s="301">
        <f>H150</f>
        <v>0</v>
      </c>
      <c r="I149" s="301">
        <f>I150</f>
        <v>0</v>
      </c>
    </row>
    <row r="150" spans="1:9" ht="49.5" customHeight="1">
      <c r="A150" s="133" t="s">
        <v>575</v>
      </c>
      <c r="B150" s="201">
        <v>156</v>
      </c>
      <c r="C150" s="134" t="s">
        <v>174</v>
      </c>
      <c r="D150" s="134" t="s">
        <v>551</v>
      </c>
      <c r="E150" s="95">
        <v>9100071780</v>
      </c>
      <c r="F150" s="95">
        <v>240</v>
      </c>
      <c r="G150" s="266">
        <f>1900+58.8+110+150-1963.8-255+255</f>
        <v>255.00000000000023</v>
      </c>
      <c r="H150" s="266">
        <v>0</v>
      </c>
      <c r="I150" s="266">
        <v>0</v>
      </c>
    </row>
    <row r="151" spans="1:9" ht="33" customHeight="1" hidden="1">
      <c r="A151" s="60" t="s">
        <v>387</v>
      </c>
      <c r="B151" s="201">
        <v>156</v>
      </c>
      <c r="C151" s="134" t="s">
        <v>174</v>
      </c>
      <c r="D151" s="134" t="s">
        <v>551</v>
      </c>
      <c r="E151" s="83" t="s">
        <v>272</v>
      </c>
      <c r="F151" s="95"/>
      <c r="G151" s="266">
        <f>G152</f>
        <v>0</v>
      </c>
      <c r="H151" s="266">
        <f>H152</f>
        <v>0</v>
      </c>
      <c r="I151" s="266">
        <f>I152</f>
        <v>0</v>
      </c>
    </row>
    <row r="152" spans="1:9" ht="45" customHeight="1" hidden="1">
      <c r="A152" s="304" t="s">
        <v>575</v>
      </c>
      <c r="B152" s="201">
        <v>156</v>
      </c>
      <c r="C152" s="134" t="s">
        <v>174</v>
      </c>
      <c r="D152" s="134" t="s">
        <v>551</v>
      </c>
      <c r="E152" s="83" t="s">
        <v>272</v>
      </c>
      <c r="F152" s="95">
        <v>240</v>
      </c>
      <c r="G152" s="266">
        <f>1000-1000</f>
        <v>0</v>
      </c>
      <c r="H152" s="266">
        <v>0</v>
      </c>
      <c r="I152" s="266">
        <v>0</v>
      </c>
    </row>
    <row r="153" spans="1:9" ht="20.25" customHeight="1">
      <c r="A153" s="98" t="s">
        <v>197</v>
      </c>
      <c r="B153" s="100">
        <v>156</v>
      </c>
      <c r="C153" s="101" t="s">
        <v>109</v>
      </c>
      <c r="D153" s="101" t="s">
        <v>171</v>
      </c>
      <c r="E153" s="98"/>
      <c r="F153" s="210"/>
      <c r="G153" s="269">
        <f>G154+G165+G187+G230</f>
        <v>138969.8</v>
      </c>
      <c r="H153" s="269">
        <f>H154+H165+H187+H230</f>
        <v>29864</v>
      </c>
      <c r="I153" s="269">
        <f>I154+I165+I187+I230</f>
        <v>28010.5</v>
      </c>
    </row>
    <row r="154" spans="1:9" ht="18" customHeight="1">
      <c r="A154" s="99" t="s">
        <v>156</v>
      </c>
      <c r="B154" s="100">
        <v>156</v>
      </c>
      <c r="C154" s="91" t="s">
        <v>109</v>
      </c>
      <c r="D154" s="91" t="s">
        <v>170</v>
      </c>
      <c r="E154" s="61"/>
      <c r="F154" s="95"/>
      <c r="G154" s="266">
        <f>G155</f>
        <v>793.1</v>
      </c>
      <c r="H154" s="266">
        <f>H155</f>
        <v>505</v>
      </c>
      <c r="I154" s="266">
        <f>I155</f>
        <v>1505</v>
      </c>
    </row>
    <row r="155" spans="1:9" ht="29.25" customHeight="1">
      <c r="A155" s="60" t="s">
        <v>198</v>
      </c>
      <c r="B155" s="100">
        <v>156</v>
      </c>
      <c r="C155" s="80" t="s">
        <v>109</v>
      </c>
      <c r="D155" s="80" t="s">
        <v>170</v>
      </c>
      <c r="E155" s="61">
        <v>9100000000</v>
      </c>
      <c r="F155" s="95"/>
      <c r="G155" s="266">
        <f>G157+G163</f>
        <v>793.1</v>
      </c>
      <c r="H155" s="266">
        <f>H157+H163</f>
        <v>505</v>
      </c>
      <c r="I155" s="266">
        <f>I157+I163</f>
        <v>1505</v>
      </c>
    </row>
    <row r="156" spans="1:9" ht="19.5" customHeight="1" hidden="1">
      <c r="A156" s="60" t="s">
        <v>199</v>
      </c>
      <c r="B156" s="100">
        <v>156</v>
      </c>
      <c r="C156" s="80" t="s">
        <v>109</v>
      </c>
      <c r="D156" s="80" t="s">
        <v>170</v>
      </c>
      <c r="E156" s="61">
        <v>9100020000</v>
      </c>
      <c r="F156" s="95"/>
      <c r="G156" s="266">
        <f>G157+G161+G163</f>
        <v>793.1</v>
      </c>
      <c r="H156" s="266">
        <f>H157+H161+H163</f>
        <v>505</v>
      </c>
      <c r="I156" s="266">
        <f>I157+I161+I163</f>
        <v>1505</v>
      </c>
    </row>
    <row r="157" spans="1:9" ht="31.5">
      <c r="A157" s="60" t="s">
        <v>200</v>
      </c>
      <c r="B157" s="100">
        <v>156</v>
      </c>
      <c r="C157" s="80" t="s">
        <v>109</v>
      </c>
      <c r="D157" s="80" t="s">
        <v>170</v>
      </c>
      <c r="E157" s="61">
        <v>9100021050</v>
      </c>
      <c r="F157" s="95"/>
      <c r="G157" s="266">
        <f>SUM(G158:G160)</f>
        <v>766.5</v>
      </c>
      <c r="H157" s="266">
        <f>SUM(H158:H160)</f>
        <v>500</v>
      </c>
      <c r="I157" s="266">
        <f>SUM(I158:I160)</f>
        <v>1500</v>
      </c>
    </row>
    <row r="158" spans="1:9" ht="48" customHeight="1" hidden="1">
      <c r="A158" s="60" t="s">
        <v>40</v>
      </c>
      <c r="B158" s="100">
        <v>156</v>
      </c>
      <c r="C158" s="80" t="s">
        <v>109</v>
      </c>
      <c r="D158" s="80" t="s">
        <v>170</v>
      </c>
      <c r="E158" s="61">
        <v>9100021050</v>
      </c>
      <c r="F158" s="95">
        <v>243</v>
      </c>
      <c r="G158" s="180">
        <f>950-900-50</f>
        <v>0</v>
      </c>
      <c r="H158" s="180">
        <v>0</v>
      </c>
      <c r="I158" s="180">
        <v>0</v>
      </c>
    </row>
    <row r="159" spans="1:9" ht="47.25" customHeight="1">
      <c r="A159" s="133" t="s">
        <v>575</v>
      </c>
      <c r="B159" s="100">
        <v>156</v>
      </c>
      <c r="C159" s="80" t="s">
        <v>109</v>
      </c>
      <c r="D159" s="80" t="s">
        <v>170</v>
      </c>
      <c r="E159" s="61">
        <v>9100021050</v>
      </c>
      <c r="F159" s="95">
        <v>240</v>
      </c>
      <c r="G159" s="266">
        <f>840-171.5-58.8-320.2+550-119-13.5-28.7-0.2-11.1-132-72.4-104.9</f>
        <v>357.69999999999993</v>
      </c>
      <c r="H159" s="266">
        <f>1000-1000</f>
        <v>0</v>
      </c>
      <c r="I159" s="266">
        <v>1000</v>
      </c>
    </row>
    <row r="160" spans="1:9" ht="18" customHeight="1">
      <c r="A160" s="303" t="s">
        <v>577</v>
      </c>
      <c r="B160" s="100">
        <v>156</v>
      </c>
      <c r="C160" s="80" t="s">
        <v>109</v>
      </c>
      <c r="D160" s="80" t="s">
        <v>170</v>
      </c>
      <c r="E160" s="61">
        <v>9100021050</v>
      </c>
      <c r="F160" s="95">
        <v>610</v>
      </c>
      <c r="G160" s="266">
        <f>400+8.8</f>
        <v>408.8</v>
      </c>
      <c r="H160" s="266">
        <v>500</v>
      </c>
      <c r="I160" s="266">
        <v>500</v>
      </c>
    </row>
    <row r="161" spans="1:9" ht="15.75" hidden="1">
      <c r="A161" s="60" t="s">
        <v>323</v>
      </c>
      <c r="B161" s="100">
        <v>156</v>
      </c>
      <c r="C161" s="80" t="s">
        <v>109</v>
      </c>
      <c r="D161" s="80" t="s">
        <v>170</v>
      </c>
      <c r="E161" s="61">
        <v>9100021060</v>
      </c>
      <c r="F161" s="95"/>
      <c r="G161" s="180">
        <f>G162</f>
        <v>0</v>
      </c>
      <c r="H161" s="180">
        <f>H162</f>
        <v>0</v>
      </c>
      <c r="I161" s="180">
        <f>I162</f>
        <v>0</v>
      </c>
    </row>
    <row r="162" spans="1:9" ht="47.25" hidden="1">
      <c r="A162" s="60" t="s">
        <v>40</v>
      </c>
      <c r="B162" s="100">
        <v>156</v>
      </c>
      <c r="C162" s="80" t="s">
        <v>109</v>
      </c>
      <c r="D162" s="80" t="s">
        <v>170</v>
      </c>
      <c r="E162" s="61">
        <v>9100021060</v>
      </c>
      <c r="F162" s="95">
        <v>243</v>
      </c>
      <c r="G162" s="180"/>
      <c r="H162" s="180">
        <v>0</v>
      </c>
      <c r="I162" s="180">
        <v>0</v>
      </c>
    </row>
    <row r="163" spans="1:9" ht="15.75">
      <c r="A163" s="60" t="s">
        <v>215</v>
      </c>
      <c r="B163" s="100">
        <v>156</v>
      </c>
      <c r="C163" s="80" t="s">
        <v>109</v>
      </c>
      <c r="D163" s="80" t="s">
        <v>170</v>
      </c>
      <c r="E163" s="61">
        <v>9100023020</v>
      </c>
      <c r="F163" s="95"/>
      <c r="G163" s="266">
        <f>G164</f>
        <v>26.599999999999998</v>
      </c>
      <c r="H163" s="266">
        <f>H164</f>
        <v>5</v>
      </c>
      <c r="I163" s="266">
        <f>I164</f>
        <v>5</v>
      </c>
    </row>
    <row r="164" spans="1:9" ht="48.75" customHeight="1">
      <c r="A164" s="133" t="s">
        <v>575</v>
      </c>
      <c r="B164" s="100">
        <v>156</v>
      </c>
      <c r="C164" s="80" t="s">
        <v>109</v>
      </c>
      <c r="D164" s="80" t="s">
        <v>170</v>
      </c>
      <c r="E164" s="61">
        <v>9100023020</v>
      </c>
      <c r="F164" s="95">
        <v>240</v>
      </c>
      <c r="G164" s="266">
        <f>1-1+1+28.7-3.1</f>
        <v>26.599999999999998</v>
      </c>
      <c r="H164" s="266">
        <v>5</v>
      </c>
      <c r="I164" s="266">
        <v>5</v>
      </c>
    </row>
    <row r="165" spans="1:9" ht="18" customHeight="1">
      <c r="A165" s="99" t="s">
        <v>157</v>
      </c>
      <c r="B165" s="100">
        <v>156</v>
      </c>
      <c r="C165" s="91" t="s">
        <v>109</v>
      </c>
      <c r="D165" s="91" t="s">
        <v>172</v>
      </c>
      <c r="E165" s="100"/>
      <c r="F165" s="201"/>
      <c r="G165" s="267">
        <f>G166+G180+G182+G185</f>
        <v>49166.9</v>
      </c>
      <c r="H165" s="267">
        <f>H166+H182+H185</f>
        <v>22653.5</v>
      </c>
      <c r="I165" s="267">
        <f>I166+I182+I185</f>
        <v>7400</v>
      </c>
    </row>
    <row r="166" spans="1:9" ht="95.25" customHeight="1">
      <c r="A166" s="89" t="s">
        <v>377</v>
      </c>
      <c r="B166" s="100">
        <v>156</v>
      </c>
      <c r="C166" s="80" t="s">
        <v>109</v>
      </c>
      <c r="D166" s="80" t="s">
        <v>172</v>
      </c>
      <c r="E166" s="83">
        <v>4100000000</v>
      </c>
      <c r="F166" s="95"/>
      <c r="G166" s="266">
        <f>G167+G170+G174</f>
        <v>45401</v>
      </c>
      <c r="H166" s="266">
        <f>H167+H170+H174</f>
        <v>21835.4</v>
      </c>
      <c r="I166" s="266">
        <f>I167+I170+I174</f>
        <v>0</v>
      </c>
    </row>
    <row r="167" spans="1:9" ht="78.75" customHeight="1">
      <c r="A167" s="196" t="s">
        <v>427</v>
      </c>
      <c r="B167" s="100">
        <v>156</v>
      </c>
      <c r="C167" s="80" t="s">
        <v>109</v>
      </c>
      <c r="D167" s="80" t="s">
        <v>172</v>
      </c>
      <c r="E167" s="83">
        <v>4100400000</v>
      </c>
      <c r="F167" s="95"/>
      <c r="G167" s="266">
        <f aca="true" t="shared" si="11" ref="G167:I168">G168</f>
        <v>3351.7000000000003</v>
      </c>
      <c r="H167" s="266">
        <f t="shared" si="11"/>
        <v>2400</v>
      </c>
      <c r="I167" s="266">
        <f t="shared" si="11"/>
        <v>0</v>
      </c>
    </row>
    <row r="168" spans="1:9" ht="19.5" customHeight="1">
      <c r="A168" s="60" t="s">
        <v>201</v>
      </c>
      <c r="B168" s="100">
        <v>156</v>
      </c>
      <c r="C168" s="80" t="s">
        <v>109</v>
      </c>
      <c r="D168" s="80" t="s">
        <v>172</v>
      </c>
      <c r="E168" s="83">
        <v>4100423090</v>
      </c>
      <c r="F168" s="95"/>
      <c r="G168" s="266">
        <f t="shared" si="11"/>
        <v>3351.7000000000003</v>
      </c>
      <c r="H168" s="266">
        <f t="shared" si="11"/>
        <v>2400</v>
      </c>
      <c r="I168" s="266">
        <f t="shared" si="11"/>
        <v>0</v>
      </c>
    </row>
    <row r="169" spans="1:9" ht="65.25" customHeight="1">
      <c r="A169" s="302" t="s">
        <v>578</v>
      </c>
      <c r="B169" s="100">
        <v>156</v>
      </c>
      <c r="C169" s="80" t="s">
        <v>109</v>
      </c>
      <c r="D169" s="80" t="s">
        <v>172</v>
      </c>
      <c r="E169" s="83">
        <v>4100423090</v>
      </c>
      <c r="F169" s="83">
        <v>810</v>
      </c>
      <c r="G169" s="266">
        <f>2400-100+100+900-115.7+167.4</f>
        <v>3351.7000000000003</v>
      </c>
      <c r="H169" s="266">
        <f>2400-1654.2+1654.2</f>
        <v>2400</v>
      </c>
      <c r="I169" s="266">
        <v>0</v>
      </c>
    </row>
    <row r="170" spans="1:9" ht="28.5" customHeight="1">
      <c r="A170" s="196" t="s">
        <v>615</v>
      </c>
      <c r="B170" s="100">
        <v>156</v>
      </c>
      <c r="C170" s="80" t="s">
        <v>109</v>
      </c>
      <c r="D170" s="80" t="s">
        <v>172</v>
      </c>
      <c r="E170" s="83">
        <v>4100600000</v>
      </c>
      <c r="F170" s="83"/>
      <c r="G170" s="266">
        <f>G171</f>
        <v>280.7999999999997</v>
      </c>
      <c r="H170" s="266">
        <f>H171</f>
        <v>7063.1</v>
      </c>
      <c r="I170" s="266">
        <f>I171</f>
        <v>0</v>
      </c>
    </row>
    <row r="171" spans="1:9" ht="21" customHeight="1">
      <c r="A171" s="60" t="s">
        <v>201</v>
      </c>
      <c r="B171" s="100">
        <v>156</v>
      </c>
      <c r="C171" s="80" t="s">
        <v>109</v>
      </c>
      <c r="D171" s="80" t="s">
        <v>172</v>
      </c>
      <c r="E171" s="214">
        <v>4100623090</v>
      </c>
      <c r="F171" s="83"/>
      <c r="G171" s="266">
        <f>G172+G173</f>
        <v>280.7999999999997</v>
      </c>
      <c r="H171" s="266">
        <f>H172+H173</f>
        <v>7063.1</v>
      </c>
      <c r="I171" s="266">
        <f>I172+I173</f>
        <v>0</v>
      </c>
    </row>
    <row r="172" spans="1:9" ht="51" customHeight="1">
      <c r="A172" s="133" t="s">
        <v>575</v>
      </c>
      <c r="B172" s="100">
        <v>156</v>
      </c>
      <c r="C172" s="80" t="s">
        <v>109</v>
      </c>
      <c r="D172" s="80" t="s">
        <v>172</v>
      </c>
      <c r="E172" s="214">
        <v>4100623090</v>
      </c>
      <c r="F172" s="214">
        <v>240</v>
      </c>
      <c r="G172" s="277">
        <f>7063.2-2750-485-1360-2187.4</f>
        <v>280.7999999999997</v>
      </c>
      <c r="H172" s="314">
        <f>7063.1-7063.1</f>
        <v>0</v>
      </c>
      <c r="I172" s="314">
        <v>0</v>
      </c>
    </row>
    <row r="173" spans="1:9" ht="21" customHeight="1">
      <c r="A173" s="302" t="s">
        <v>580</v>
      </c>
      <c r="B173" s="100">
        <v>156</v>
      </c>
      <c r="C173" s="80" t="s">
        <v>109</v>
      </c>
      <c r="D173" s="80" t="s">
        <v>172</v>
      </c>
      <c r="E173" s="214">
        <v>4100623090</v>
      </c>
      <c r="F173" s="214">
        <v>410</v>
      </c>
      <c r="G173" s="277">
        <v>0</v>
      </c>
      <c r="H173" s="314">
        <v>7063.1</v>
      </c>
      <c r="I173" s="314">
        <v>0</v>
      </c>
    </row>
    <row r="174" spans="1:9" ht="32.25" customHeight="1">
      <c r="A174" s="89" t="s">
        <v>522</v>
      </c>
      <c r="B174" s="100">
        <v>156</v>
      </c>
      <c r="C174" s="80" t="s">
        <v>109</v>
      </c>
      <c r="D174" s="80" t="s">
        <v>172</v>
      </c>
      <c r="E174" s="83" t="s">
        <v>559</v>
      </c>
      <c r="F174" s="95"/>
      <c r="G174" s="266">
        <f>G175+G178</f>
        <v>41768.5</v>
      </c>
      <c r="H174" s="266">
        <f>H175+H178</f>
        <v>12372.3</v>
      </c>
      <c r="I174" s="266">
        <f>I175+I178</f>
        <v>0</v>
      </c>
    </row>
    <row r="175" spans="1:9" ht="33.75" customHeight="1">
      <c r="A175" s="89" t="s">
        <v>523</v>
      </c>
      <c r="B175" s="100">
        <v>156</v>
      </c>
      <c r="C175" s="80" t="s">
        <v>109</v>
      </c>
      <c r="D175" s="80" t="s">
        <v>172</v>
      </c>
      <c r="E175" s="83" t="s">
        <v>560</v>
      </c>
      <c r="F175" s="95"/>
      <c r="G175" s="266">
        <f>G176+G177</f>
        <v>41723.5</v>
      </c>
      <c r="H175" s="266">
        <f>H176+H177</f>
        <v>3624.7999999999993</v>
      </c>
      <c r="I175" s="266">
        <f>I176+I177</f>
        <v>0</v>
      </c>
    </row>
    <row r="176" spans="1:9" ht="45.75" customHeight="1">
      <c r="A176" s="302" t="s">
        <v>575</v>
      </c>
      <c r="B176" s="100">
        <v>156</v>
      </c>
      <c r="C176" s="80" t="s">
        <v>109</v>
      </c>
      <c r="D176" s="80" t="s">
        <v>172</v>
      </c>
      <c r="E176" s="83" t="s">
        <v>560</v>
      </c>
      <c r="F176" s="95">
        <v>240</v>
      </c>
      <c r="G176" s="266">
        <v>21</v>
      </c>
      <c r="H176" s="266">
        <v>0</v>
      </c>
      <c r="I176" s="266">
        <v>0</v>
      </c>
    </row>
    <row r="177" spans="1:9" ht="18.75" customHeight="1">
      <c r="A177" s="302" t="s">
        <v>580</v>
      </c>
      <c r="B177" s="100">
        <v>156</v>
      </c>
      <c r="C177" s="80" t="s">
        <v>109</v>
      </c>
      <c r="D177" s="80" t="s">
        <v>172</v>
      </c>
      <c r="E177" s="83" t="s">
        <v>560</v>
      </c>
      <c r="F177" s="95">
        <v>410</v>
      </c>
      <c r="G177" s="266">
        <f>41723.5-21</f>
        <v>41702.5</v>
      </c>
      <c r="H177" s="266">
        <f>12372.3+1654.2-1654.2-8747.5</f>
        <v>3624.7999999999993</v>
      </c>
      <c r="I177" s="266">
        <v>0</v>
      </c>
    </row>
    <row r="178" spans="1:9" ht="33" customHeight="1">
      <c r="A178" s="133" t="s">
        <v>643</v>
      </c>
      <c r="B178" s="201">
        <v>156</v>
      </c>
      <c r="C178" s="134" t="s">
        <v>109</v>
      </c>
      <c r="D178" s="134" t="s">
        <v>172</v>
      </c>
      <c r="E178" s="95">
        <v>4100552430</v>
      </c>
      <c r="F178" s="95"/>
      <c r="G178" s="266">
        <f>G179</f>
        <v>45</v>
      </c>
      <c r="H178" s="266">
        <f>H179</f>
        <v>8747.5</v>
      </c>
      <c r="I178" s="266">
        <f>I179</f>
        <v>0</v>
      </c>
    </row>
    <row r="179" spans="1:9" ht="49.5" customHeight="1">
      <c r="A179" s="302" t="s">
        <v>575</v>
      </c>
      <c r="B179" s="100">
        <v>156</v>
      </c>
      <c r="C179" s="80" t="s">
        <v>109</v>
      </c>
      <c r="D179" s="80" t="s">
        <v>172</v>
      </c>
      <c r="E179" s="83">
        <v>4100552430</v>
      </c>
      <c r="F179" s="95">
        <v>240</v>
      </c>
      <c r="G179" s="266">
        <f>100-55</f>
        <v>45</v>
      </c>
      <c r="H179" s="266">
        <v>8747.5</v>
      </c>
      <c r="I179" s="266">
        <v>0</v>
      </c>
    </row>
    <row r="180" spans="1:9" ht="31.5" customHeight="1" hidden="1">
      <c r="A180" s="60" t="s">
        <v>387</v>
      </c>
      <c r="B180" s="100">
        <v>156</v>
      </c>
      <c r="C180" s="80" t="s">
        <v>109</v>
      </c>
      <c r="D180" s="80" t="s">
        <v>172</v>
      </c>
      <c r="E180" s="83">
        <v>9100022270</v>
      </c>
      <c r="F180" s="95"/>
      <c r="G180" s="266">
        <f>G181</f>
        <v>0</v>
      </c>
      <c r="H180" s="266">
        <f>H181</f>
        <v>0</v>
      </c>
      <c r="I180" s="266">
        <f>I181</f>
        <v>0</v>
      </c>
    </row>
    <row r="181" spans="1:9" ht="49.5" customHeight="1" hidden="1">
      <c r="A181" s="133" t="s">
        <v>575</v>
      </c>
      <c r="B181" s="100">
        <v>156</v>
      </c>
      <c r="C181" s="80" t="s">
        <v>109</v>
      </c>
      <c r="D181" s="80" t="s">
        <v>172</v>
      </c>
      <c r="E181" s="83">
        <v>9100022270</v>
      </c>
      <c r="F181" s="95">
        <v>240</v>
      </c>
      <c r="G181" s="266">
        <f>115.7-115.7</f>
        <v>0</v>
      </c>
      <c r="H181" s="266">
        <v>0</v>
      </c>
      <c r="I181" s="266">
        <v>0</v>
      </c>
    </row>
    <row r="182" spans="1:9" ht="18" customHeight="1">
      <c r="A182" s="60" t="s">
        <v>201</v>
      </c>
      <c r="B182" s="100">
        <v>156</v>
      </c>
      <c r="C182" s="80" t="s">
        <v>109</v>
      </c>
      <c r="D182" s="80" t="s">
        <v>172</v>
      </c>
      <c r="E182" s="61">
        <v>9100023090</v>
      </c>
      <c r="F182" s="95"/>
      <c r="G182" s="266">
        <f>G183+G184</f>
        <v>2470.9</v>
      </c>
      <c r="H182" s="266">
        <f>H183+H184</f>
        <v>818.0999999999999</v>
      </c>
      <c r="I182" s="266">
        <f>I183+I184</f>
        <v>7400</v>
      </c>
    </row>
    <row r="183" spans="1:9" ht="49.5" customHeight="1">
      <c r="A183" s="302" t="s">
        <v>575</v>
      </c>
      <c r="B183" s="100">
        <v>156</v>
      </c>
      <c r="C183" s="80" t="s">
        <v>109</v>
      </c>
      <c r="D183" s="80" t="s">
        <v>172</v>
      </c>
      <c r="E183" s="83">
        <v>9100023090</v>
      </c>
      <c r="F183" s="95">
        <v>240</v>
      </c>
      <c r="G183" s="266">
        <f>1894+500+267-260+84-14.1</f>
        <v>2470.9</v>
      </c>
      <c r="H183" s="266">
        <f>5000-371.3-2747.5-1063.1</f>
        <v>818.0999999999999</v>
      </c>
      <c r="I183" s="266">
        <v>5000</v>
      </c>
    </row>
    <row r="184" spans="1:9" ht="65.25" customHeight="1">
      <c r="A184" s="302" t="s">
        <v>578</v>
      </c>
      <c r="B184" s="100">
        <v>156</v>
      </c>
      <c r="C184" s="80" t="s">
        <v>109</v>
      </c>
      <c r="D184" s="80" t="s">
        <v>172</v>
      </c>
      <c r="E184" s="83">
        <v>9100023090</v>
      </c>
      <c r="F184" s="95">
        <v>810</v>
      </c>
      <c r="G184" s="266">
        <v>0</v>
      </c>
      <c r="H184" s="266">
        <v>0</v>
      </c>
      <c r="I184" s="266">
        <v>2400</v>
      </c>
    </row>
    <row r="185" spans="1:9" ht="33" customHeight="1">
      <c r="A185" s="60" t="s">
        <v>387</v>
      </c>
      <c r="B185" s="100">
        <v>156</v>
      </c>
      <c r="C185" s="80" t="s">
        <v>109</v>
      </c>
      <c r="D185" s="80" t="s">
        <v>172</v>
      </c>
      <c r="E185" s="83" t="s">
        <v>272</v>
      </c>
      <c r="F185" s="95"/>
      <c r="G185" s="266">
        <f>G186</f>
        <v>1295</v>
      </c>
      <c r="H185" s="266">
        <f>H186</f>
        <v>0</v>
      </c>
      <c r="I185" s="266">
        <f>I186</f>
        <v>0</v>
      </c>
    </row>
    <row r="186" spans="1:9" ht="48" customHeight="1">
      <c r="A186" s="304" t="s">
        <v>575</v>
      </c>
      <c r="B186" s="100">
        <v>156</v>
      </c>
      <c r="C186" s="80" t="s">
        <v>109</v>
      </c>
      <c r="D186" s="80" t="s">
        <v>172</v>
      </c>
      <c r="E186" s="83" t="s">
        <v>272</v>
      </c>
      <c r="F186" s="95">
        <v>240</v>
      </c>
      <c r="G186" s="266">
        <v>1295</v>
      </c>
      <c r="H186" s="266">
        <v>0</v>
      </c>
      <c r="I186" s="266">
        <v>0</v>
      </c>
    </row>
    <row r="187" spans="1:9" ht="18.75" customHeight="1">
      <c r="A187" s="99" t="s">
        <v>158</v>
      </c>
      <c r="B187" s="100">
        <v>156</v>
      </c>
      <c r="C187" s="80" t="s">
        <v>109</v>
      </c>
      <c r="D187" s="80" t="s">
        <v>173</v>
      </c>
      <c r="E187" s="61"/>
      <c r="F187" s="95"/>
      <c r="G187" s="267">
        <f>G188+G211+G213+G217+G219+G222+G224+G226+G228</f>
        <v>81624.50000000001</v>
      </c>
      <c r="H187" s="267">
        <f>H188+H210+H213+H217+H219+H222+H224+H226+H228</f>
        <v>6505.5</v>
      </c>
      <c r="I187" s="267">
        <f>I188+I210+I213+I217+I219+I222+I224+I226+I228</f>
        <v>12105.5</v>
      </c>
    </row>
    <row r="188" spans="1:9" ht="62.25" customHeight="1">
      <c r="A188" s="219" t="s">
        <v>553</v>
      </c>
      <c r="B188" s="100">
        <v>156</v>
      </c>
      <c r="C188" s="80" t="s">
        <v>109</v>
      </c>
      <c r="D188" s="80" t="s">
        <v>173</v>
      </c>
      <c r="E188" s="83">
        <v>2500000000</v>
      </c>
      <c r="F188" s="95"/>
      <c r="G188" s="266">
        <f>G189+G198+G203+G206</f>
        <v>68815.40000000001</v>
      </c>
      <c r="H188" s="266">
        <f>H189+H198+H203+H206</f>
        <v>3938.8</v>
      </c>
      <c r="I188" s="266">
        <f>I189+I198+I203+I206</f>
        <v>3938.8</v>
      </c>
    </row>
    <row r="189" spans="1:9" ht="48" customHeight="1">
      <c r="A189" s="221" t="s">
        <v>524</v>
      </c>
      <c r="B189" s="218">
        <v>156</v>
      </c>
      <c r="C189" s="80" t="s">
        <v>109</v>
      </c>
      <c r="D189" s="80" t="s">
        <v>173</v>
      </c>
      <c r="E189" s="83" t="s">
        <v>393</v>
      </c>
      <c r="F189" s="95"/>
      <c r="G189" s="266">
        <f>G190+G192+G194+G196</f>
        <v>56476</v>
      </c>
      <c r="H189" s="266">
        <f>H190+H192+H194+H196</f>
        <v>3838.8</v>
      </c>
      <c r="I189" s="266">
        <f>I190+I192+I194+I196</f>
        <v>3838.8</v>
      </c>
    </row>
    <row r="190" spans="1:9" ht="66" customHeight="1">
      <c r="A190" s="283" t="s">
        <v>525</v>
      </c>
      <c r="B190" s="100">
        <v>156</v>
      </c>
      <c r="C190" s="80" t="s">
        <v>109</v>
      </c>
      <c r="D190" s="80" t="s">
        <v>173</v>
      </c>
      <c r="E190" s="83" t="s">
        <v>521</v>
      </c>
      <c r="F190" s="95"/>
      <c r="G190" s="266">
        <f>G191</f>
        <v>50000</v>
      </c>
      <c r="H190" s="266">
        <f>H191</f>
        <v>0</v>
      </c>
      <c r="I190" s="266">
        <f>I191</f>
        <v>0</v>
      </c>
    </row>
    <row r="191" spans="1:9" ht="45" customHeight="1">
      <c r="A191" s="133" t="s">
        <v>575</v>
      </c>
      <c r="B191" s="100">
        <v>156</v>
      </c>
      <c r="C191" s="80" t="s">
        <v>109</v>
      </c>
      <c r="D191" s="80" t="s">
        <v>173</v>
      </c>
      <c r="E191" s="83" t="s">
        <v>521</v>
      </c>
      <c r="F191" s="95">
        <v>240</v>
      </c>
      <c r="G191" s="266">
        <f>50000+8960.6-8960.6</f>
        <v>50000</v>
      </c>
      <c r="H191" s="266">
        <v>0</v>
      </c>
      <c r="I191" s="266">
        <v>0</v>
      </c>
    </row>
    <row r="192" spans="1:9" ht="36" customHeight="1">
      <c r="A192" s="220" t="s">
        <v>301</v>
      </c>
      <c r="B192" s="100">
        <v>156</v>
      </c>
      <c r="C192" s="80" t="s">
        <v>109</v>
      </c>
      <c r="D192" s="80" t="s">
        <v>173</v>
      </c>
      <c r="E192" s="83" t="s">
        <v>394</v>
      </c>
      <c r="F192" s="95"/>
      <c r="G192" s="266">
        <f>G193</f>
        <v>5364.9</v>
      </c>
      <c r="H192" s="266">
        <f>H193</f>
        <v>3838.8</v>
      </c>
      <c r="I192" s="266">
        <f>I193</f>
        <v>3838.8</v>
      </c>
    </row>
    <row r="193" spans="1:9" ht="47.25" customHeight="1">
      <c r="A193" s="133" t="s">
        <v>575</v>
      </c>
      <c r="B193" s="100">
        <v>156</v>
      </c>
      <c r="C193" s="80" t="s">
        <v>109</v>
      </c>
      <c r="D193" s="80" t="s">
        <v>173</v>
      </c>
      <c r="E193" s="83" t="s">
        <v>394</v>
      </c>
      <c r="F193" s="95">
        <v>240</v>
      </c>
      <c r="G193" s="266">
        <f>5364.9+34.2+1500-1534.2</f>
        <v>5364.9</v>
      </c>
      <c r="H193" s="266">
        <v>3838.8</v>
      </c>
      <c r="I193" s="266">
        <v>3838.8</v>
      </c>
    </row>
    <row r="194" spans="1:9" ht="30" customHeight="1">
      <c r="A194" s="133" t="s">
        <v>609</v>
      </c>
      <c r="B194" s="100">
        <v>156</v>
      </c>
      <c r="C194" s="80" t="s">
        <v>109</v>
      </c>
      <c r="D194" s="80" t="s">
        <v>173</v>
      </c>
      <c r="E194" s="83" t="s">
        <v>607</v>
      </c>
      <c r="F194" s="95"/>
      <c r="G194" s="266">
        <f>G195</f>
        <v>1111.1</v>
      </c>
      <c r="H194" s="266">
        <f>H195</f>
        <v>0</v>
      </c>
      <c r="I194" s="266">
        <f>I195</f>
        <v>0</v>
      </c>
    </row>
    <row r="195" spans="1:9" ht="47.25" customHeight="1">
      <c r="A195" s="133" t="s">
        <v>575</v>
      </c>
      <c r="B195" s="100">
        <v>156</v>
      </c>
      <c r="C195" s="80" t="s">
        <v>109</v>
      </c>
      <c r="D195" s="80" t="s">
        <v>173</v>
      </c>
      <c r="E195" s="83" t="s">
        <v>607</v>
      </c>
      <c r="F195" s="95">
        <v>240</v>
      </c>
      <c r="G195" s="266">
        <v>1111.1</v>
      </c>
      <c r="H195" s="266">
        <v>0</v>
      </c>
      <c r="I195" s="266">
        <v>0</v>
      </c>
    </row>
    <row r="196" spans="1:9" ht="46.5" customHeight="1">
      <c r="A196" s="133" t="s">
        <v>610</v>
      </c>
      <c r="B196" s="100">
        <v>156</v>
      </c>
      <c r="C196" s="80" t="s">
        <v>109</v>
      </c>
      <c r="D196" s="80" t="s">
        <v>173</v>
      </c>
      <c r="E196" s="83" t="s">
        <v>608</v>
      </c>
      <c r="F196" s="95"/>
      <c r="G196" s="266">
        <f>G197</f>
        <v>3.694822225952521E-13</v>
      </c>
      <c r="H196" s="266">
        <f>H197</f>
        <v>0</v>
      </c>
      <c r="I196" s="266">
        <f>I197</f>
        <v>0</v>
      </c>
    </row>
    <row r="197" spans="1:9" ht="47.25" customHeight="1">
      <c r="A197" s="133" t="s">
        <v>575</v>
      </c>
      <c r="B197" s="100">
        <v>156</v>
      </c>
      <c r="C197" s="80" t="s">
        <v>109</v>
      </c>
      <c r="D197" s="80" t="s">
        <v>173</v>
      </c>
      <c r="E197" s="83" t="s">
        <v>608</v>
      </c>
      <c r="F197" s="95">
        <v>240</v>
      </c>
      <c r="G197" s="266">
        <f>8960.6-8871-89.6</f>
        <v>3.694822225952521E-13</v>
      </c>
      <c r="H197" s="266">
        <v>0</v>
      </c>
      <c r="I197" s="266">
        <v>0</v>
      </c>
    </row>
    <row r="198" spans="1:9" ht="36.75" customHeight="1">
      <c r="A198" s="60" t="s">
        <v>647</v>
      </c>
      <c r="B198" s="100">
        <v>156</v>
      </c>
      <c r="C198" s="80" t="s">
        <v>109</v>
      </c>
      <c r="D198" s="80" t="s">
        <v>173</v>
      </c>
      <c r="E198" s="83">
        <v>2500400000</v>
      </c>
      <c r="F198" s="95"/>
      <c r="G198" s="266">
        <f>G199+G201</f>
        <v>2106.9</v>
      </c>
      <c r="H198" s="266">
        <f>H199+H201</f>
        <v>100</v>
      </c>
      <c r="I198" s="266">
        <f>I199+I201</f>
        <v>100</v>
      </c>
    </row>
    <row r="199" spans="1:9" ht="36.75" customHeight="1">
      <c r="A199" s="60" t="s">
        <v>363</v>
      </c>
      <c r="B199" s="100">
        <v>156</v>
      </c>
      <c r="C199" s="80" t="s">
        <v>109</v>
      </c>
      <c r="D199" s="80" t="s">
        <v>173</v>
      </c>
      <c r="E199" s="83">
        <v>2500400190</v>
      </c>
      <c r="F199" s="95"/>
      <c r="G199" s="266">
        <f>G200</f>
        <v>42</v>
      </c>
      <c r="H199" s="266">
        <f>H200</f>
        <v>100</v>
      </c>
      <c r="I199" s="266">
        <f>I200</f>
        <v>100</v>
      </c>
    </row>
    <row r="200" spans="1:9" ht="48" customHeight="1">
      <c r="A200" s="133" t="s">
        <v>575</v>
      </c>
      <c r="B200" s="100">
        <v>156</v>
      </c>
      <c r="C200" s="80" t="s">
        <v>109</v>
      </c>
      <c r="D200" s="80" t="s">
        <v>173</v>
      </c>
      <c r="E200" s="83">
        <v>2500400190</v>
      </c>
      <c r="F200" s="95">
        <v>240</v>
      </c>
      <c r="G200" s="266">
        <f>100-58</f>
        <v>42</v>
      </c>
      <c r="H200" s="266">
        <v>100</v>
      </c>
      <c r="I200" s="266">
        <v>100</v>
      </c>
    </row>
    <row r="201" spans="1:9" ht="48" customHeight="1">
      <c r="A201" s="315" t="s">
        <v>646</v>
      </c>
      <c r="B201" s="100">
        <v>156</v>
      </c>
      <c r="C201" s="80" t="s">
        <v>109</v>
      </c>
      <c r="D201" s="80" t="s">
        <v>173</v>
      </c>
      <c r="E201" s="83">
        <v>2500425551</v>
      </c>
      <c r="F201" s="95"/>
      <c r="G201" s="266">
        <f>G202</f>
        <v>2064.9</v>
      </c>
      <c r="H201" s="266">
        <f>H202</f>
        <v>0</v>
      </c>
      <c r="I201" s="266">
        <f>I202</f>
        <v>0</v>
      </c>
    </row>
    <row r="202" spans="1:9" ht="48" customHeight="1">
      <c r="A202" s="133" t="s">
        <v>575</v>
      </c>
      <c r="B202" s="100">
        <v>156</v>
      </c>
      <c r="C202" s="80" t="s">
        <v>109</v>
      </c>
      <c r="D202" s="80" t="s">
        <v>173</v>
      </c>
      <c r="E202" s="83">
        <v>2500425551</v>
      </c>
      <c r="F202" s="95">
        <v>240</v>
      </c>
      <c r="G202" s="266">
        <f>1534.2+485+65.8-20.1</f>
        <v>2064.9</v>
      </c>
      <c r="H202" s="266">
        <v>0</v>
      </c>
      <c r="I202" s="266">
        <v>0</v>
      </c>
    </row>
    <row r="203" spans="1:9" ht="33.75" customHeight="1">
      <c r="A203" s="131" t="s">
        <v>635</v>
      </c>
      <c r="B203" s="100">
        <v>156</v>
      </c>
      <c r="C203" s="91" t="s">
        <v>109</v>
      </c>
      <c r="D203" s="91" t="s">
        <v>173</v>
      </c>
      <c r="E203" s="83">
        <v>2500700000</v>
      </c>
      <c r="F203" s="95"/>
      <c r="G203" s="266">
        <f aca="true" t="shared" si="12" ref="G203:I204">G204</f>
        <v>7886.400000000001</v>
      </c>
      <c r="H203" s="266">
        <f t="shared" si="12"/>
        <v>0</v>
      </c>
      <c r="I203" s="266">
        <f t="shared" si="12"/>
        <v>0</v>
      </c>
    </row>
    <row r="204" spans="1:9" ht="18.75" customHeight="1">
      <c r="A204" s="60" t="s">
        <v>374</v>
      </c>
      <c r="B204" s="100">
        <v>156</v>
      </c>
      <c r="C204" s="91" t="s">
        <v>109</v>
      </c>
      <c r="D204" s="91" t="s">
        <v>173</v>
      </c>
      <c r="E204" s="83">
        <v>2500723050</v>
      </c>
      <c r="F204" s="95"/>
      <c r="G204" s="266">
        <f>G205</f>
        <v>7886.400000000001</v>
      </c>
      <c r="H204" s="266">
        <f t="shared" si="12"/>
        <v>0</v>
      </c>
      <c r="I204" s="266">
        <f t="shared" si="12"/>
        <v>0</v>
      </c>
    </row>
    <row r="205" spans="1:9" ht="45.75" customHeight="1">
      <c r="A205" s="133" t="s">
        <v>575</v>
      </c>
      <c r="B205" s="100">
        <v>156</v>
      </c>
      <c r="C205" s="80" t="s">
        <v>109</v>
      </c>
      <c r="D205" s="80" t="s">
        <v>173</v>
      </c>
      <c r="E205" s="83">
        <v>2500723050</v>
      </c>
      <c r="F205" s="95">
        <v>240</v>
      </c>
      <c r="G205" s="266">
        <f>1150+7810.6+360-1434.2</f>
        <v>7886.400000000001</v>
      </c>
      <c r="H205" s="266">
        <v>0</v>
      </c>
      <c r="I205" s="266">
        <v>0</v>
      </c>
    </row>
    <row r="206" spans="1:9" ht="34.5" customHeight="1">
      <c r="A206" s="60" t="s">
        <v>636</v>
      </c>
      <c r="B206" s="100">
        <v>156</v>
      </c>
      <c r="C206" s="80" t="s">
        <v>109</v>
      </c>
      <c r="D206" s="80" t="s">
        <v>173</v>
      </c>
      <c r="E206" s="83">
        <v>2500800000</v>
      </c>
      <c r="F206" s="95"/>
      <c r="G206" s="266">
        <f>G207+G209</f>
        <v>2346.1</v>
      </c>
      <c r="H206" s="266">
        <f>H207+H209</f>
        <v>0</v>
      </c>
      <c r="I206" s="266">
        <f>I207+I209</f>
        <v>0</v>
      </c>
    </row>
    <row r="207" spans="1:9" ht="32.25" customHeight="1">
      <c r="A207" s="131" t="s">
        <v>624</v>
      </c>
      <c r="B207" s="100">
        <v>156</v>
      </c>
      <c r="C207" s="80" t="s">
        <v>109</v>
      </c>
      <c r="D207" s="80" t="s">
        <v>173</v>
      </c>
      <c r="E207" s="83">
        <v>2500821780</v>
      </c>
      <c r="F207" s="95"/>
      <c r="G207" s="266">
        <f>G208</f>
        <v>387.29999999999995</v>
      </c>
      <c r="H207" s="266">
        <f>H208</f>
        <v>0</v>
      </c>
      <c r="I207" s="266">
        <f>I208</f>
        <v>0</v>
      </c>
    </row>
    <row r="208" spans="1:9" ht="48.75" customHeight="1">
      <c r="A208" s="133" t="s">
        <v>575</v>
      </c>
      <c r="B208" s="100">
        <v>156</v>
      </c>
      <c r="C208" s="80" t="s">
        <v>109</v>
      </c>
      <c r="D208" s="80" t="s">
        <v>173</v>
      </c>
      <c r="E208" s="83">
        <v>2500821780</v>
      </c>
      <c r="F208" s="95">
        <v>240</v>
      </c>
      <c r="G208" s="266">
        <f>692.3-255-50</f>
        <v>387.29999999999995</v>
      </c>
      <c r="H208" s="266">
        <v>0</v>
      </c>
      <c r="I208" s="266">
        <v>0</v>
      </c>
    </row>
    <row r="209" spans="1:9" ht="22.5" customHeight="1">
      <c r="A209" s="131" t="s">
        <v>625</v>
      </c>
      <c r="B209" s="100">
        <v>156</v>
      </c>
      <c r="C209" s="80" t="s">
        <v>109</v>
      </c>
      <c r="D209" s="80" t="s">
        <v>173</v>
      </c>
      <c r="E209" s="83" t="s">
        <v>634</v>
      </c>
      <c r="F209" s="95"/>
      <c r="G209" s="266">
        <f>G210</f>
        <v>1958.8</v>
      </c>
      <c r="H209" s="266">
        <f>H210</f>
        <v>0</v>
      </c>
      <c r="I209" s="266">
        <f>I210</f>
        <v>0</v>
      </c>
    </row>
    <row r="210" spans="1:9" ht="33.75" customHeight="1">
      <c r="A210" s="133" t="s">
        <v>575</v>
      </c>
      <c r="B210" s="100">
        <v>156</v>
      </c>
      <c r="C210" s="80" t="s">
        <v>109</v>
      </c>
      <c r="D210" s="80" t="s">
        <v>173</v>
      </c>
      <c r="E210" s="83" t="s">
        <v>634</v>
      </c>
      <c r="F210" s="95">
        <v>240</v>
      </c>
      <c r="G210" s="266">
        <v>1958.8</v>
      </c>
      <c r="H210" s="266">
        <f>H212</f>
        <v>0</v>
      </c>
      <c r="I210" s="266">
        <f>I212</f>
        <v>0</v>
      </c>
    </row>
    <row r="211" spans="1:9" ht="33.75" customHeight="1">
      <c r="A211" s="60" t="s">
        <v>387</v>
      </c>
      <c r="B211" s="100">
        <v>156</v>
      </c>
      <c r="C211" s="80" t="s">
        <v>109</v>
      </c>
      <c r="D211" s="80" t="s">
        <v>173</v>
      </c>
      <c r="E211" s="83">
        <v>9100022270</v>
      </c>
      <c r="F211" s="95"/>
      <c r="G211" s="266">
        <f>G212</f>
        <v>271.5</v>
      </c>
      <c r="H211" s="266">
        <f>H212</f>
        <v>0</v>
      </c>
      <c r="I211" s="266">
        <f>I212</f>
        <v>0</v>
      </c>
    </row>
    <row r="212" spans="1:9" ht="47.25" customHeight="1">
      <c r="A212" s="133" t="s">
        <v>575</v>
      </c>
      <c r="B212" s="100">
        <v>156</v>
      </c>
      <c r="C212" s="80" t="s">
        <v>109</v>
      </c>
      <c r="D212" s="80" t="s">
        <v>173</v>
      </c>
      <c r="E212" s="83">
        <v>9100022270</v>
      </c>
      <c r="F212" s="95">
        <v>240</v>
      </c>
      <c r="G212" s="266">
        <f>145.4+115+11.1</f>
        <v>271.5</v>
      </c>
      <c r="H212" s="266">
        <v>0</v>
      </c>
      <c r="I212" s="266">
        <v>0</v>
      </c>
    </row>
    <row r="213" spans="1:9" ht="15.75">
      <c r="A213" s="46" t="s">
        <v>215</v>
      </c>
      <c r="B213" s="100">
        <v>156</v>
      </c>
      <c r="C213" s="80" t="s">
        <v>109</v>
      </c>
      <c r="D213" s="80" t="s">
        <v>173</v>
      </c>
      <c r="E213" s="61">
        <v>9100023020</v>
      </c>
      <c r="F213" s="95"/>
      <c r="G213" s="266">
        <f>G214+G215+G216</f>
        <v>283.8</v>
      </c>
      <c r="H213" s="266">
        <f>H214+H215+H216</f>
        <v>0</v>
      </c>
      <c r="I213" s="266">
        <f>I214+I215+I216</f>
        <v>0</v>
      </c>
    </row>
    <row r="214" spans="1:9" ht="47.25" customHeight="1">
      <c r="A214" s="133" t="s">
        <v>575</v>
      </c>
      <c r="B214" s="100">
        <v>156</v>
      </c>
      <c r="C214" s="80" t="s">
        <v>109</v>
      </c>
      <c r="D214" s="80" t="s">
        <v>173</v>
      </c>
      <c r="E214" s="61">
        <v>9100023020</v>
      </c>
      <c r="F214" s="95">
        <v>240</v>
      </c>
      <c r="G214" s="266">
        <f>118.6+24+119-0.3</f>
        <v>261.3</v>
      </c>
      <c r="H214" s="268">
        <v>0</v>
      </c>
      <c r="I214" s="268">
        <v>0</v>
      </c>
    </row>
    <row r="215" spans="1:9" ht="21" customHeight="1" hidden="1">
      <c r="A215" s="60" t="s">
        <v>357</v>
      </c>
      <c r="B215" s="100">
        <v>156</v>
      </c>
      <c r="C215" s="80" t="s">
        <v>109</v>
      </c>
      <c r="D215" s="80" t="s">
        <v>173</v>
      </c>
      <c r="E215" s="61">
        <v>9100023020</v>
      </c>
      <c r="F215" s="95">
        <v>831</v>
      </c>
      <c r="G215" s="266">
        <v>0</v>
      </c>
      <c r="H215" s="268">
        <v>0</v>
      </c>
      <c r="I215" s="268">
        <v>0</v>
      </c>
    </row>
    <row r="216" spans="1:9" ht="20.25" customHeight="1">
      <c r="A216" s="133" t="s">
        <v>579</v>
      </c>
      <c r="B216" s="100">
        <v>156</v>
      </c>
      <c r="C216" s="80" t="s">
        <v>109</v>
      </c>
      <c r="D216" s="80" t="s">
        <v>173</v>
      </c>
      <c r="E216" s="61">
        <v>9100023020</v>
      </c>
      <c r="F216" s="95">
        <v>850</v>
      </c>
      <c r="G216" s="266">
        <f>10+16+5.6-9.1</f>
        <v>22.5</v>
      </c>
      <c r="H216" s="268">
        <v>0</v>
      </c>
      <c r="I216" s="268">
        <v>0</v>
      </c>
    </row>
    <row r="217" spans="1:9" ht="15.75" hidden="1">
      <c r="A217" s="46" t="s">
        <v>215</v>
      </c>
      <c r="B217" s="100">
        <v>156</v>
      </c>
      <c r="C217" s="80" t="s">
        <v>109</v>
      </c>
      <c r="D217" s="80" t="s">
        <v>173</v>
      </c>
      <c r="E217" s="61">
        <v>9100071090</v>
      </c>
      <c r="F217" s="95"/>
      <c r="G217" s="180">
        <f>G218</f>
        <v>0</v>
      </c>
      <c r="H217" s="180">
        <f>H218</f>
        <v>0</v>
      </c>
      <c r="I217" s="180">
        <f>I218</f>
        <v>0</v>
      </c>
    </row>
    <row r="218" spans="1:9" ht="18" customHeight="1" hidden="1">
      <c r="A218" s="60" t="s">
        <v>87</v>
      </c>
      <c r="B218" s="100">
        <v>156</v>
      </c>
      <c r="C218" s="80" t="s">
        <v>109</v>
      </c>
      <c r="D218" s="80" t="s">
        <v>173</v>
      </c>
      <c r="E218" s="61">
        <v>9100071090</v>
      </c>
      <c r="F218" s="95">
        <v>612</v>
      </c>
      <c r="G218" s="180">
        <v>0</v>
      </c>
      <c r="H218" s="183">
        <v>0</v>
      </c>
      <c r="I218" s="183">
        <v>0</v>
      </c>
    </row>
    <row r="219" spans="1:9" ht="20.25" customHeight="1">
      <c r="A219" s="60" t="s">
        <v>374</v>
      </c>
      <c r="B219" s="100">
        <v>156</v>
      </c>
      <c r="C219" s="80" t="s">
        <v>109</v>
      </c>
      <c r="D219" s="80" t="s">
        <v>173</v>
      </c>
      <c r="E219" s="61">
        <v>9100023050</v>
      </c>
      <c r="F219" s="95"/>
      <c r="G219" s="266">
        <f>SUM(G220:G221)</f>
        <v>274.9</v>
      </c>
      <c r="H219" s="266">
        <f>SUM(H220:H221)</f>
        <v>700</v>
      </c>
      <c r="I219" s="266">
        <f>SUM(I220:I221)</f>
        <v>700</v>
      </c>
    </row>
    <row r="220" spans="1:9" s="31" customFormat="1" ht="46.5" customHeight="1">
      <c r="A220" s="133" t="s">
        <v>575</v>
      </c>
      <c r="B220" s="100">
        <v>156</v>
      </c>
      <c r="C220" s="80" t="s">
        <v>109</v>
      </c>
      <c r="D220" s="80" t="s">
        <v>173</v>
      </c>
      <c r="E220" s="61">
        <v>9100023050</v>
      </c>
      <c r="F220" s="95">
        <v>240</v>
      </c>
      <c r="G220" s="266">
        <v>200</v>
      </c>
      <c r="H220" s="266">
        <v>200</v>
      </c>
      <c r="I220" s="266">
        <v>200</v>
      </c>
    </row>
    <row r="221" spans="1:9" ht="17.25" customHeight="1">
      <c r="A221" s="303" t="s">
        <v>577</v>
      </c>
      <c r="B221" s="100">
        <v>156</v>
      </c>
      <c r="C221" s="80" t="s">
        <v>109</v>
      </c>
      <c r="D221" s="80" t="s">
        <v>173</v>
      </c>
      <c r="E221" s="61">
        <v>9100023050</v>
      </c>
      <c r="F221" s="95">
        <v>610</v>
      </c>
      <c r="G221" s="266">
        <f>100-8.8-16.3</f>
        <v>74.9</v>
      </c>
      <c r="H221" s="268">
        <v>500</v>
      </c>
      <c r="I221" s="268">
        <v>500</v>
      </c>
    </row>
    <row r="222" spans="1:9" ht="17.25" customHeight="1">
      <c r="A222" s="139" t="s">
        <v>376</v>
      </c>
      <c r="B222" s="100">
        <v>156</v>
      </c>
      <c r="C222" s="80" t="s">
        <v>109</v>
      </c>
      <c r="D222" s="80" t="s">
        <v>173</v>
      </c>
      <c r="E222" s="83" t="s">
        <v>351</v>
      </c>
      <c r="F222" s="95"/>
      <c r="G222" s="266">
        <f>G223</f>
        <v>7854.299999999999</v>
      </c>
      <c r="H222" s="266">
        <f>H223</f>
        <v>1866.6999999999998</v>
      </c>
      <c r="I222" s="266">
        <f>I223</f>
        <v>7466.7</v>
      </c>
    </row>
    <row r="223" spans="1:9" ht="17.25" customHeight="1">
      <c r="A223" s="304" t="s">
        <v>575</v>
      </c>
      <c r="B223" s="100">
        <v>156</v>
      </c>
      <c r="C223" s="80" t="s">
        <v>109</v>
      </c>
      <c r="D223" s="80" t="s">
        <v>173</v>
      </c>
      <c r="E223" s="83" t="s">
        <v>351</v>
      </c>
      <c r="F223" s="95">
        <v>240</v>
      </c>
      <c r="G223" s="266">
        <f>5600+1866.7-6866.7+6866.7+96.7+0.2+290.7</f>
        <v>7854.299999999999</v>
      </c>
      <c r="H223" s="266">
        <f>5600+1866.7-6866.7+6866.7-5600</f>
        <v>1866.6999999999998</v>
      </c>
      <c r="I223" s="266">
        <f>5600+1866.7-6866.7+6866.7</f>
        <v>7466.7</v>
      </c>
    </row>
    <row r="224" spans="1:9" ht="20.25" customHeight="1" hidden="1">
      <c r="A224" s="304" t="s">
        <v>625</v>
      </c>
      <c r="B224" s="201">
        <v>156</v>
      </c>
      <c r="C224" s="134" t="s">
        <v>109</v>
      </c>
      <c r="D224" s="134" t="s">
        <v>173</v>
      </c>
      <c r="E224" s="95" t="s">
        <v>623</v>
      </c>
      <c r="F224" s="95"/>
      <c r="G224" s="266">
        <f>G225</f>
        <v>0</v>
      </c>
      <c r="H224" s="266">
        <f>H225</f>
        <v>0</v>
      </c>
      <c r="I224" s="266">
        <f>I225</f>
        <v>0</v>
      </c>
    </row>
    <row r="225" spans="1:9" ht="48.75" customHeight="1" hidden="1">
      <c r="A225" s="133" t="s">
        <v>575</v>
      </c>
      <c r="B225" s="201">
        <v>156</v>
      </c>
      <c r="C225" s="134" t="s">
        <v>109</v>
      </c>
      <c r="D225" s="134" t="s">
        <v>173</v>
      </c>
      <c r="E225" s="95" t="s">
        <v>623</v>
      </c>
      <c r="F225" s="95">
        <v>240</v>
      </c>
      <c r="G225" s="266">
        <f>1958.8-1958.8</f>
        <v>0</v>
      </c>
      <c r="H225" s="268">
        <v>0</v>
      </c>
      <c r="I225" s="268">
        <v>0</v>
      </c>
    </row>
    <row r="226" spans="1:9" ht="33.75" customHeight="1">
      <c r="A226" s="60" t="s">
        <v>387</v>
      </c>
      <c r="B226" s="100">
        <v>156</v>
      </c>
      <c r="C226" s="80" t="s">
        <v>109</v>
      </c>
      <c r="D226" s="80" t="s">
        <v>173</v>
      </c>
      <c r="E226" s="83" t="s">
        <v>272</v>
      </c>
      <c r="F226" s="95"/>
      <c r="G226" s="266">
        <f>G227</f>
        <v>4124.6</v>
      </c>
      <c r="H226" s="266">
        <f>H227</f>
        <v>0</v>
      </c>
      <c r="I226" s="266">
        <f>I227</f>
        <v>0</v>
      </c>
    </row>
    <row r="227" spans="1:9" ht="45" customHeight="1">
      <c r="A227" s="304" t="s">
        <v>575</v>
      </c>
      <c r="B227" s="100">
        <v>156</v>
      </c>
      <c r="C227" s="80" t="s">
        <v>109</v>
      </c>
      <c r="D227" s="80" t="s">
        <v>173</v>
      </c>
      <c r="E227" s="83" t="s">
        <v>272</v>
      </c>
      <c r="F227" s="95">
        <v>240</v>
      </c>
      <c r="G227" s="266">
        <f>949+428.4+1067.6+1589-128-59.5-79.5+3493-4095+1000+105-145.4</f>
        <v>4124.6</v>
      </c>
      <c r="H227" s="268">
        <v>0</v>
      </c>
      <c r="I227" s="268">
        <v>0</v>
      </c>
    </row>
    <row r="228" spans="1:9" ht="19.5" customHeight="1" hidden="1">
      <c r="A228" s="139" t="s">
        <v>384</v>
      </c>
      <c r="B228" s="100">
        <v>156</v>
      </c>
      <c r="C228" s="80" t="s">
        <v>109</v>
      </c>
      <c r="D228" s="80" t="s">
        <v>173</v>
      </c>
      <c r="E228" s="83" t="s">
        <v>383</v>
      </c>
      <c r="F228" s="95"/>
      <c r="G228" s="180">
        <f>G229</f>
        <v>0</v>
      </c>
      <c r="H228" s="180">
        <f>H229</f>
        <v>0</v>
      </c>
      <c r="I228" s="180">
        <f>I229</f>
        <v>0</v>
      </c>
    </row>
    <row r="229" spans="1:9" ht="19.5" customHeight="1" hidden="1">
      <c r="A229" s="139" t="s">
        <v>355</v>
      </c>
      <c r="B229" s="100">
        <v>156</v>
      </c>
      <c r="C229" s="80" t="s">
        <v>109</v>
      </c>
      <c r="D229" s="80" t="s">
        <v>173</v>
      </c>
      <c r="E229" s="83" t="s">
        <v>383</v>
      </c>
      <c r="F229" s="95">
        <v>244</v>
      </c>
      <c r="G229" s="180">
        <v>0</v>
      </c>
      <c r="H229" s="183">
        <v>0</v>
      </c>
      <c r="I229" s="183">
        <v>0</v>
      </c>
    </row>
    <row r="230" spans="1:9" ht="30.75" customHeight="1">
      <c r="A230" s="99" t="s">
        <v>159</v>
      </c>
      <c r="B230" s="100">
        <v>156</v>
      </c>
      <c r="C230" s="91" t="s">
        <v>109</v>
      </c>
      <c r="D230" s="91" t="s">
        <v>109</v>
      </c>
      <c r="E230" s="61"/>
      <c r="F230" s="95"/>
      <c r="G230" s="267">
        <f>G231+G234</f>
        <v>7385.3</v>
      </c>
      <c r="H230" s="267">
        <f>H231+H234</f>
        <v>200</v>
      </c>
      <c r="I230" s="267">
        <f>I231+I234</f>
        <v>7000</v>
      </c>
    </row>
    <row r="231" spans="1:9" ht="21" customHeight="1">
      <c r="A231" s="60" t="s">
        <v>374</v>
      </c>
      <c r="B231" s="100">
        <v>156</v>
      </c>
      <c r="C231" s="80" t="s">
        <v>109</v>
      </c>
      <c r="D231" s="80" t="s">
        <v>109</v>
      </c>
      <c r="E231" s="61">
        <v>9100023050</v>
      </c>
      <c r="F231" s="95"/>
      <c r="G231" s="266">
        <f>G232+G233</f>
        <v>7385.3</v>
      </c>
      <c r="H231" s="266">
        <f>H233+H232</f>
        <v>200</v>
      </c>
      <c r="I231" s="266">
        <f>I233+I232</f>
        <v>7000</v>
      </c>
    </row>
    <row r="232" spans="1:9" ht="21" customHeight="1" hidden="1">
      <c r="A232" s="60" t="s">
        <v>355</v>
      </c>
      <c r="B232" s="100">
        <v>156</v>
      </c>
      <c r="C232" s="80" t="s">
        <v>109</v>
      </c>
      <c r="D232" s="80" t="s">
        <v>109</v>
      </c>
      <c r="E232" s="61">
        <v>9100023050</v>
      </c>
      <c r="F232" s="95">
        <v>244</v>
      </c>
      <c r="G232" s="266">
        <v>0</v>
      </c>
      <c r="H232" s="266">
        <v>0</v>
      </c>
      <c r="I232" s="266">
        <v>0</v>
      </c>
    </row>
    <row r="233" spans="1:9" ht="16.5" customHeight="1">
      <c r="A233" s="133" t="s">
        <v>577</v>
      </c>
      <c r="B233" s="100">
        <v>156</v>
      </c>
      <c r="C233" s="80" t="s">
        <v>109</v>
      </c>
      <c r="D233" s="80" t="s">
        <v>109</v>
      </c>
      <c r="E233" s="61">
        <v>9100023050</v>
      </c>
      <c r="F233" s="95">
        <v>610</v>
      </c>
      <c r="G233" s="266">
        <f>5450+400+135.3+1000+400</f>
        <v>7385.3</v>
      </c>
      <c r="H233" s="268">
        <f>6200-6000</f>
        <v>200</v>
      </c>
      <c r="I233" s="268">
        <v>7000</v>
      </c>
    </row>
    <row r="234" spans="1:9" ht="47.25" hidden="1">
      <c r="A234" s="60" t="s">
        <v>308</v>
      </c>
      <c r="B234" s="100">
        <v>156</v>
      </c>
      <c r="C234" s="80" t="s">
        <v>109</v>
      </c>
      <c r="D234" s="80" t="s">
        <v>109</v>
      </c>
      <c r="E234" s="61">
        <v>9100024010</v>
      </c>
      <c r="F234" s="95"/>
      <c r="G234" s="266">
        <f>G235</f>
        <v>0</v>
      </c>
      <c r="H234" s="266">
        <f>H235</f>
        <v>0</v>
      </c>
      <c r="I234" s="266">
        <f>I235</f>
        <v>0</v>
      </c>
    </row>
    <row r="235" spans="1:9" ht="45.75" customHeight="1" hidden="1">
      <c r="A235" s="60" t="s">
        <v>302</v>
      </c>
      <c r="B235" s="100">
        <v>156</v>
      </c>
      <c r="C235" s="80" t="s">
        <v>109</v>
      </c>
      <c r="D235" s="80" t="s">
        <v>109</v>
      </c>
      <c r="E235" s="61">
        <v>9100024010</v>
      </c>
      <c r="F235" s="95">
        <v>360</v>
      </c>
      <c r="G235" s="266">
        <v>0</v>
      </c>
      <c r="H235" s="268">
        <v>0</v>
      </c>
      <c r="I235" s="268">
        <v>0</v>
      </c>
    </row>
    <row r="236" spans="1:9" ht="18.75">
      <c r="A236" s="98" t="s">
        <v>88</v>
      </c>
      <c r="B236" s="100">
        <v>156</v>
      </c>
      <c r="C236" s="101" t="s">
        <v>110</v>
      </c>
      <c r="D236" s="101" t="s">
        <v>171</v>
      </c>
      <c r="E236" s="77"/>
      <c r="F236" s="77"/>
      <c r="G236" s="269">
        <f aca="true" t="shared" si="13" ref="G236:I238">G237</f>
        <v>25.2</v>
      </c>
      <c r="H236" s="269">
        <f t="shared" si="13"/>
        <v>0</v>
      </c>
      <c r="I236" s="269">
        <f t="shared" si="13"/>
        <v>0</v>
      </c>
    </row>
    <row r="237" spans="1:9" ht="18.75">
      <c r="A237" s="88" t="s">
        <v>361</v>
      </c>
      <c r="B237" s="100">
        <v>156</v>
      </c>
      <c r="C237" s="80" t="s">
        <v>110</v>
      </c>
      <c r="D237" s="80" t="s">
        <v>110</v>
      </c>
      <c r="E237" s="77"/>
      <c r="F237" s="77"/>
      <c r="G237" s="269">
        <f t="shared" si="13"/>
        <v>25.2</v>
      </c>
      <c r="H237" s="269">
        <f t="shared" si="13"/>
        <v>0</v>
      </c>
      <c r="I237" s="269">
        <f t="shared" si="13"/>
        <v>0</v>
      </c>
    </row>
    <row r="238" spans="1:9" ht="48.75" customHeight="1">
      <c r="A238" s="60" t="s">
        <v>375</v>
      </c>
      <c r="B238" s="100">
        <v>156</v>
      </c>
      <c r="C238" s="80" t="s">
        <v>110</v>
      </c>
      <c r="D238" s="80" t="s">
        <v>110</v>
      </c>
      <c r="E238" s="61">
        <v>9100090170</v>
      </c>
      <c r="F238" s="61"/>
      <c r="G238" s="266">
        <f t="shared" si="13"/>
        <v>25.2</v>
      </c>
      <c r="H238" s="266">
        <f t="shared" si="13"/>
        <v>0</v>
      </c>
      <c r="I238" s="266">
        <f t="shared" si="13"/>
        <v>0</v>
      </c>
    </row>
    <row r="239" spans="1:9" ht="21.75" customHeight="1">
      <c r="A239" s="60" t="s">
        <v>188</v>
      </c>
      <c r="B239" s="100">
        <v>156</v>
      </c>
      <c r="C239" s="80" t="s">
        <v>110</v>
      </c>
      <c r="D239" s="80" t="s">
        <v>110</v>
      </c>
      <c r="E239" s="61">
        <v>9100090170</v>
      </c>
      <c r="F239" s="61">
        <v>540</v>
      </c>
      <c r="G239" s="266">
        <v>25.2</v>
      </c>
      <c r="H239" s="188">
        <v>0</v>
      </c>
      <c r="I239" s="188">
        <v>0</v>
      </c>
    </row>
    <row r="240" spans="1:9" ht="19.5" customHeight="1">
      <c r="A240" s="98" t="s">
        <v>603</v>
      </c>
      <c r="B240" s="100">
        <v>156</v>
      </c>
      <c r="C240" s="91" t="s">
        <v>600</v>
      </c>
      <c r="D240" s="91" t="s">
        <v>171</v>
      </c>
      <c r="E240" s="100"/>
      <c r="F240" s="100"/>
      <c r="G240" s="267">
        <f>G241</f>
        <v>400</v>
      </c>
      <c r="H240" s="267">
        <f>H241</f>
        <v>0</v>
      </c>
      <c r="I240" s="267">
        <f>I241</f>
        <v>0</v>
      </c>
    </row>
    <row r="241" spans="1:9" ht="34.5" customHeight="1">
      <c r="A241" s="99" t="s">
        <v>602</v>
      </c>
      <c r="B241" s="100">
        <v>156</v>
      </c>
      <c r="C241" s="91" t="s">
        <v>600</v>
      </c>
      <c r="D241" s="91" t="s">
        <v>174</v>
      </c>
      <c r="E241" s="100"/>
      <c r="F241" s="100"/>
      <c r="G241" s="267">
        <f>G243</f>
        <v>400</v>
      </c>
      <c r="H241" s="267">
        <f>H243</f>
        <v>0</v>
      </c>
      <c r="I241" s="267">
        <f>I243</f>
        <v>0</v>
      </c>
    </row>
    <row r="242" spans="1:9" ht="30.75" customHeight="1">
      <c r="A242" s="60" t="s">
        <v>387</v>
      </c>
      <c r="B242" s="61">
        <v>156</v>
      </c>
      <c r="C242" s="80" t="s">
        <v>600</v>
      </c>
      <c r="D242" s="80" t="s">
        <v>174</v>
      </c>
      <c r="E242" s="83" t="s">
        <v>272</v>
      </c>
      <c r="F242" s="95"/>
      <c r="G242" s="266">
        <f>G243</f>
        <v>400</v>
      </c>
      <c r="H242" s="266">
        <f>H243</f>
        <v>0</v>
      </c>
      <c r="I242" s="266">
        <f>I243</f>
        <v>0</v>
      </c>
    </row>
    <row r="243" spans="1:9" ht="43.5" customHeight="1">
      <c r="A243" s="304" t="s">
        <v>575</v>
      </c>
      <c r="B243" s="61">
        <v>156</v>
      </c>
      <c r="C243" s="80" t="s">
        <v>600</v>
      </c>
      <c r="D243" s="80" t="s">
        <v>174</v>
      </c>
      <c r="E243" s="83" t="s">
        <v>272</v>
      </c>
      <c r="F243" s="311">
        <v>240</v>
      </c>
      <c r="G243" s="312">
        <v>400</v>
      </c>
      <c r="H243" s="268">
        <v>0</v>
      </c>
      <c r="I243" s="268">
        <v>0</v>
      </c>
    </row>
    <row r="244" spans="1:9" ht="21" customHeight="1">
      <c r="A244" s="98" t="s">
        <v>89</v>
      </c>
      <c r="B244" s="100">
        <v>156</v>
      </c>
      <c r="C244" s="101">
        <v>10</v>
      </c>
      <c r="D244" s="101" t="s">
        <v>171</v>
      </c>
      <c r="E244" s="70"/>
      <c r="F244" s="209"/>
      <c r="G244" s="274">
        <f>G245+G248+G251</f>
        <v>770.7</v>
      </c>
      <c r="H244" s="274">
        <f>H245+H248+H251</f>
        <v>320</v>
      </c>
      <c r="I244" s="274">
        <f>I245+I248+I251</f>
        <v>320</v>
      </c>
    </row>
    <row r="245" spans="1:9" ht="18.75">
      <c r="A245" s="99" t="s">
        <v>362</v>
      </c>
      <c r="B245" s="100">
        <v>156</v>
      </c>
      <c r="C245" s="91">
        <v>10</v>
      </c>
      <c r="D245" s="91" t="s">
        <v>170</v>
      </c>
      <c r="E245" s="70"/>
      <c r="F245" s="209"/>
      <c r="G245" s="266">
        <f aca="true" t="shared" si="14" ref="G245:I246">G246</f>
        <v>319.7</v>
      </c>
      <c r="H245" s="266">
        <f t="shared" si="14"/>
        <v>320</v>
      </c>
      <c r="I245" s="266">
        <f t="shared" si="14"/>
        <v>320</v>
      </c>
    </row>
    <row r="246" spans="1:9" ht="15.75" customHeight="1">
      <c r="A246" s="60" t="s">
        <v>4</v>
      </c>
      <c r="B246" s="100">
        <v>156</v>
      </c>
      <c r="C246" s="80">
        <v>10</v>
      </c>
      <c r="D246" s="80" t="s">
        <v>170</v>
      </c>
      <c r="E246" s="61">
        <v>9100083010</v>
      </c>
      <c r="F246" s="209"/>
      <c r="G246" s="266">
        <f t="shared" si="14"/>
        <v>319.7</v>
      </c>
      <c r="H246" s="266">
        <f t="shared" si="14"/>
        <v>320</v>
      </c>
      <c r="I246" s="266">
        <f t="shared" si="14"/>
        <v>320</v>
      </c>
    </row>
    <row r="247" spans="1:9" ht="34.5" customHeight="1">
      <c r="A247" s="133" t="s">
        <v>576</v>
      </c>
      <c r="B247" s="100">
        <v>156</v>
      </c>
      <c r="C247" s="80">
        <v>10</v>
      </c>
      <c r="D247" s="80" t="s">
        <v>170</v>
      </c>
      <c r="E247" s="61">
        <v>9100083010</v>
      </c>
      <c r="F247" s="95">
        <v>320</v>
      </c>
      <c r="G247" s="266">
        <f>320-0.3</f>
        <v>319.7</v>
      </c>
      <c r="H247" s="268">
        <v>320</v>
      </c>
      <c r="I247" s="268">
        <v>320</v>
      </c>
    </row>
    <row r="248" spans="1:9" ht="20.25" customHeight="1">
      <c r="A248" s="317" t="s">
        <v>659</v>
      </c>
      <c r="B248" s="100">
        <v>156</v>
      </c>
      <c r="C248" s="80">
        <v>10</v>
      </c>
      <c r="D248" s="80" t="s">
        <v>173</v>
      </c>
      <c r="E248" s="61"/>
      <c r="F248" s="95"/>
      <c r="G248" s="266">
        <f aca="true" t="shared" si="15" ref="G248:I249">G249</f>
        <v>1</v>
      </c>
      <c r="H248" s="266">
        <f t="shared" si="15"/>
        <v>0</v>
      </c>
      <c r="I248" s="266">
        <f t="shared" si="15"/>
        <v>0</v>
      </c>
    </row>
    <row r="249" spans="1:9" ht="18.75" customHeight="1">
      <c r="A249" s="3" t="s">
        <v>658</v>
      </c>
      <c r="B249" s="100">
        <v>156</v>
      </c>
      <c r="C249" s="80">
        <v>10</v>
      </c>
      <c r="D249" s="80" t="s">
        <v>173</v>
      </c>
      <c r="E249" s="61">
        <v>9100083040</v>
      </c>
      <c r="F249" s="95"/>
      <c r="G249" s="266">
        <f t="shared" si="15"/>
        <v>1</v>
      </c>
      <c r="H249" s="266">
        <f t="shared" si="15"/>
        <v>0</v>
      </c>
      <c r="I249" s="266">
        <f t="shared" si="15"/>
        <v>0</v>
      </c>
    </row>
    <row r="250" spans="1:9" ht="19.5" customHeight="1">
      <c r="A250" s="133" t="s">
        <v>660</v>
      </c>
      <c r="B250" s="100">
        <v>156</v>
      </c>
      <c r="C250" s="80">
        <v>10</v>
      </c>
      <c r="D250" s="80" t="s">
        <v>173</v>
      </c>
      <c r="E250" s="61">
        <v>9100083040</v>
      </c>
      <c r="F250" s="95">
        <v>360</v>
      </c>
      <c r="G250" s="266">
        <v>1</v>
      </c>
      <c r="H250" s="268">
        <v>0</v>
      </c>
      <c r="I250" s="268">
        <v>0</v>
      </c>
    </row>
    <row r="251" spans="1:9" ht="15.75" customHeight="1">
      <c r="A251" s="317" t="s">
        <v>651</v>
      </c>
      <c r="B251" s="100">
        <v>156</v>
      </c>
      <c r="C251" s="91">
        <v>10</v>
      </c>
      <c r="D251" s="91" t="s">
        <v>107</v>
      </c>
      <c r="E251" s="61"/>
      <c r="F251" s="95"/>
      <c r="G251" s="266">
        <f>G254+G252</f>
        <v>450</v>
      </c>
      <c r="H251" s="266">
        <f>H254+H252</f>
        <v>0</v>
      </c>
      <c r="I251" s="266">
        <f>I254+I252</f>
        <v>0</v>
      </c>
    </row>
    <row r="252" spans="1:9" ht="16.5" customHeight="1" hidden="1">
      <c r="A252" s="316" t="s">
        <v>189</v>
      </c>
      <c r="B252" s="100">
        <v>156</v>
      </c>
      <c r="C252" s="80" t="s">
        <v>111</v>
      </c>
      <c r="D252" s="80" t="s">
        <v>173</v>
      </c>
      <c r="E252" s="61">
        <v>7050000000</v>
      </c>
      <c r="F252" s="95"/>
      <c r="G252" s="266">
        <f>G253</f>
        <v>0</v>
      </c>
      <c r="H252" s="266">
        <f>H253</f>
        <v>0</v>
      </c>
      <c r="I252" s="266">
        <f>I253</f>
        <v>0</v>
      </c>
    </row>
    <row r="253" spans="1:9" ht="47.25" hidden="1">
      <c r="A253" s="316" t="s">
        <v>5</v>
      </c>
      <c r="B253" s="100">
        <v>156</v>
      </c>
      <c r="C253" s="80" t="s">
        <v>111</v>
      </c>
      <c r="D253" s="80" t="s">
        <v>173</v>
      </c>
      <c r="E253" s="61">
        <v>7050000000</v>
      </c>
      <c r="F253" s="95">
        <v>321</v>
      </c>
      <c r="G253" s="266"/>
      <c r="H253" s="272"/>
      <c r="I253" s="272"/>
    </row>
    <row r="254" spans="1:9" ht="61.5" customHeight="1">
      <c r="A254" s="133" t="s">
        <v>650</v>
      </c>
      <c r="B254" s="100">
        <v>156</v>
      </c>
      <c r="C254" s="80">
        <v>10</v>
      </c>
      <c r="D254" s="80" t="s">
        <v>107</v>
      </c>
      <c r="E254" s="95" t="s">
        <v>649</v>
      </c>
      <c r="F254" s="95"/>
      <c r="G254" s="266">
        <f>G255</f>
        <v>450</v>
      </c>
      <c r="H254" s="266">
        <f>H255</f>
        <v>0</v>
      </c>
      <c r="I254" s="266">
        <f>I255</f>
        <v>0</v>
      </c>
    </row>
    <row r="255" spans="1:9" ht="44.25" customHeight="1">
      <c r="A255" s="304" t="s">
        <v>575</v>
      </c>
      <c r="B255" s="100">
        <v>156</v>
      </c>
      <c r="C255" s="80">
        <v>10</v>
      </c>
      <c r="D255" s="80" t="s">
        <v>107</v>
      </c>
      <c r="E255" s="95" t="s">
        <v>649</v>
      </c>
      <c r="F255" s="95">
        <v>240</v>
      </c>
      <c r="G255" s="266">
        <v>450</v>
      </c>
      <c r="H255" s="188">
        <v>0</v>
      </c>
      <c r="I255" s="188">
        <v>0</v>
      </c>
    </row>
    <row r="256" spans="1:9" ht="19.5" customHeight="1" hidden="1">
      <c r="A256" s="98" t="s">
        <v>90</v>
      </c>
      <c r="B256" s="100">
        <v>156</v>
      </c>
      <c r="C256" s="101">
        <v>11</v>
      </c>
      <c r="D256" s="101" t="s">
        <v>171</v>
      </c>
      <c r="E256" s="77"/>
      <c r="F256" s="206"/>
      <c r="G256" s="207">
        <f>G257</f>
        <v>0</v>
      </c>
      <c r="H256" s="207">
        <f aca="true" t="shared" si="16" ref="H256:I258">H257</f>
        <v>0</v>
      </c>
      <c r="I256" s="207">
        <f t="shared" si="16"/>
        <v>0</v>
      </c>
    </row>
    <row r="257" spans="1:9" ht="15.75" hidden="1">
      <c r="A257" s="60" t="s">
        <v>34</v>
      </c>
      <c r="B257" s="100">
        <v>156</v>
      </c>
      <c r="C257" s="80">
        <v>11</v>
      </c>
      <c r="D257" s="80" t="s">
        <v>170</v>
      </c>
      <c r="E257" s="61">
        <v>9100000000</v>
      </c>
      <c r="F257" s="202"/>
      <c r="G257" s="180">
        <f>G258</f>
        <v>0</v>
      </c>
      <c r="H257" s="180">
        <f t="shared" si="16"/>
        <v>0</v>
      </c>
      <c r="I257" s="180">
        <f t="shared" si="16"/>
        <v>0</v>
      </c>
    </row>
    <row r="258" spans="1:9" ht="78.75" hidden="1">
      <c r="A258" s="60" t="s">
        <v>91</v>
      </c>
      <c r="B258" s="100">
        <v>156</v>
      </c>
      <c r="C258" s="80">
        <v>11</v>
      </c>
      <c r="D258" s="80" t="s">
        <v>170</v>
      </c>
      <c r="E258" s="61">
        <v>9100090180</v>
      </c>
      <c r="F258" s="202"/>
      <c r="G258" s="180">
        <f>G259</f>
        <v>0</v>
      </c>
      <c r="H258" s="180">
        <f t="shared" si="16"/>
        <v>0</v>
      </c>
      <c r="I258" s="180">
        <f t="shared" si="16"/>
        <v>0</v>
      </c>
    </row>
    <row r="259" spans="1:9" ht="79.5" customHeight="1" hidden="1">
      <c r="A259" s="60" t="s">
        <v>217</v>
      </c>
      <c r="B259" s="100">
        <v>156</v>
      </c>
      <c r="C259" s="80" t="s">
        <v>205</v>
      </c>
      <c r="D259" s="80" t="s">
        <v>170</v>
      </c>
      <c r="E259" s="61">
        <v>9100090180</v>
      </c>
      <c r="F259" s="202">
        <v>540</v>
      </c>
      <c r="G259" s="180"/>
      <c r="H259" s="182"/>
      <c r="I259" s="182"/>
    </row>
    <row r="260" spans="1:9" ht="18.75">
      <c r="A260" s="98" t="s">
        <v>92</v>
      </c>
      <c r="B260" s="100">
        <v>156</v>
      </c>
      <c r="C260" s="101">
        <v>12</v>
      </c>
      <c r="D260" s="101" t="s">
        <v>171</v>
      </c>
      <c r="E260" s="77"/>
      <c r="F260" s="208"/>
      <c r="G260" s="269">
        <f>G261</f>
        <v>97.6</v>
      </c>
      <c r="H260" s="269">
        <f aca="true" t="shared" si="17" ref="H260:I262">H261</f>
        <v>190</v>
      </c>
      <c r="I260" s="269">
        <f t="shared" si="17"/>
        <v>190</v>
      </c>
    </row>
    <row r="261" spans="1:9" ht="15.75">
      <c r="A261" s="60" t="s">
        <v>165</v>
      </c>
      <c r="B261" s="100">
        <v>156</v>
      </c>
      <c r="C261" s="91">
        <v>12</v>
      </c>
      <c r="D261" s="91" t="s">
        <v>172</v>
      </c>
      <c r="E261" s="61"/>
      <c r="F261" s="95"/>
      <c r="G261" s="266">
        <f>G262</f>
        <v>97.6</v>
      </c>
      <c r="H261" s="266">
        <f t="shared" si="17"/>
        <v>190</v>
      </c>
      <c r="I261" s="266">
        <f t="shared" si="17"/>
        <v>190</v>
      </c>
    </row>
    <row r="262" spans="1:9" ht="20.25" customHeight="1">
      <c r="A262" s="60" t="s">
        <v>488</v>
      </c>
      <c r="B262" s="100">
        <v>156</v>
      </c>
      <c r="C262" s="80">
        <v>12</v>
      </c>
      <c r="D262" s="80" t="s">
        <v>172</v>
      </c>
      <c r="E262" s="61">
        <v>9100086010</v>
      </c>
      <c r="F262" s="95"/>
      <c r="G262" s="266">
        <f>G263</f>
        <v>97.6</v>
      </c>
      <c r="H262" s="266">
        <f>H263</f>
        <v>190</v>
      </c>
      <c r="I262" s="266">
        <f t="shared" si="17"/>
        <v>190</v>
      </c>
    </row>
    <row r="263" spans="1:9" ht="48" customHeight="1">
      <c r="A263" s="133" t="s">
        <v>575</v>
      </c>
      <c r="B263" s="100">
        <v>156</v>
      </c>
      <c r="C263" s="80">
        <v>12</v>
      </c>
      <c r="D263" s="80" t="s">
        <v>172</v>
      </c>
      <c r="E263" s="61">
        <v>9100086010</v>
      </c>
      <c r="F263" s="95">
        <v>240</v>
      </c>
      <c r="G263" s="266">
        <f>190-86-6.4</f>
        <v>97.6</v>
      </c>
      <c r="H263" s="268">
        <v>190</v>
      </c>
      <c r="I263" s="268">
        <v>190</v>
      </c>
    </row>
    <row r="264" spans="1:9" ht="36.75" customHeight="1" hidden="1">
      <c r="A264" s="98" t="s">
        <v>93</v>
      </c>
      <c r="B264" s="100">
        <v>156</v>
      </c>
      <c r="C264" s="101">
        <v>13</v>
      </c>
      <c r="D264" s="101" t="s">
        <v>171</v>
      </c>
      <c r="E264" s="77"/>
      <c r="F264" s="208"/>
      <c r="G264" s="207">
        <f>G265</f>
        <v>0</v>
      </c>
      <c r="H264" s="207">
        <f aca="true" t="shared" si="18" ref="H264:I266">H265</f>
        <v>0</v>
      </c>
      <c r="I264" s="207">
        <f t="shared" si="18"/>
        <v>0</v>
      </c>
    </row>
    <row r="265" spans="1:9" ht="28.5" customHeight="1" hidden="1">
      <c r="A265" s="39" t="s">
        <v>167</v>
      </c>
      <c r="B265" s="100">
        <v>156</v>
      </c>
      <c r="C265" s="101" t="s">
        <v>35</v>
      </c>
      <c r="D265" s="101" t="s">
        <v>170</v>
      </c>
      <c r="E265" s="77"/>
      <c r="F265" s="208"/>
      <c r="G265" s="207">
        <f>G266</f>
        <v>0</v>
      </c>
      <c r="H265" s="207">
        <f t="shared" si="18"/>
        <v>0</v>
      </c>
      <c r="I265" s="207">
        <f t="shared" si="18"/>
        <v>0</v>
      </c>
    </row>
    <row r="266" spans="1:9" ht="31.5" hidden="1">
      <c r="A266" s="60" t="s">
        <v>218</v>
      </c>
      <c r="B266" s="100">
        <v>156</v>
      </c>
      <c r="C266" s="80">
        <v>13</v>
      </c>
      <c r="D266" s="80" t="s">
        <v>170</v>
      </c>
      <c r="E266" s="61">
        <v>9100020990</v>
      </c>
      <c r="F266" s="95"/>
      <c r="G266" s="180">
        <f>G267</f>
        <v>0</v>
      </c>
      <c r="H266" s="180">
        <f t="shared" si="18"/>
        <v>0</v>
      </c>
      <c r="I266" s="180">
        <f t="shared" si="18"/>
        <v>0</v>
      </c>
    </row>
    <row r="267" spans="1:9" ht="15.75" hidden="1">
      <c r="A267" s="60" t="s">
        <v>359</v>
      </c>
      <c r="B267" s="100">
        <v>156</v>
      </c>
      <c r="C267" s="80">
        <v>13</v>
      </c>
      <c r="D267" s="80" t="s">
        <v>170</v>
      </c>
      <c r="E267" s="61">
        <v>9100020990</v>
      </c>
      <c r="F267" s="95">
        <v>730</v>
      </c>
      <c r="G267" s="180">
        <v>0</v>
      </c>
      <c r="H267" s="182">
        <v>0</v>
      </c>
      <c r="I267" s="182">
        <v>0</v>
      </c>
    </row>
    <row r="268" spans="1:9" ht="18.75">
      <c r="A268" s="98" t="s">
        <v>168</v>
      </c>
      <c r="B268" s="100"/>
      <c r="C268" s="104"/>
      <c r="D268" s="104"/>
      <c r="E268" s="70"/>
      <c r="F268" s="209"/>
      <c r="G268" s="269">
        <f>G264+G260+G256+G244+G236+G187+G165+G154+G121+G110+G104+G94+G22+G230+G240</f>
        <v>179819.40000000002</v>
      </c>
      <c r="H268" s="269">
        <f>H264+H260+H256+H244+H236+H187+H165+H154+H121+H110+H104+H94+H22+H230+H240</f>
        <v>38767.8</v>
      </c>
      <c r="I268" s="269">
        <f>I264+I260+I256+I244+I236+I187+I165+I154+I121+I110+I104+I94+I22+I230+I240</f>
        <v>42067.6</v>
      </c>
    </row>
    <row r="269" spans="1:9" ht="15.75">
      <c r="A269" s="46" t="s">
        <v>212</v>
      </c>
      <c r="B269" s="46"/>
      <c r="C269" s="46"/>
      <c r="D269" s="46"/>
      <c r="E269" s="46"/>
      <c r="F269" s="211"/>
      <c r="G269" s="255"/>
      <c r="H269" s="188">
        <v>1023</v>
      </c>
      <c r="I269" s="188">
        <v>2503.2</v>
      </c>
    </row>
    <row r="270" spans="1:9" ht="18.75">
      <c r="A270" s="98" t="s">
        <v>168</v>
      </c>
      <c r="B270" s="46"/>
      <c r="C270" s="46"/>
      <c r="D270" s="46"/>
      <c r="E270" s="46"/>
      <c r="F270" s="46"/>
      <c r="G270" s="275">
        <f>G268+G269</f>
        <v>179819.40000000002</v>
      </c>
      <c r="H270" s="275">
        <f>H268+H269</f>
        <v>39790.8</v>
      </c>
      <c r="I270" s="275">
        <f>I268+I269</f>
        <v>44570.799999999996</v>
      </c>
    </row>
    <row r="271" ht="15.75">
      <c r="I271" s="8" t="s">
        <v>564</v>
      </c>
    </row>
    <row r="272" ht="15.75">
      <c r="I272" s="3"/>
    </row>
  </sheetData>
  <sheetProtection/>
  <mergeCells count="18">
    <mergeCell ref="A16:I16"/>
    <mergeCell ref="A15:I15"/>
    <mergeCell ref="G18:I18"/>
    <mergeCell ref="A18:A19"/>
    <mergeCell ref="B18:B19"/>
    <mergeCell ref="C18:C19"/>
    <mergeCell ref="D18:D19"/>
    <mergeCell ref="E18:E19"/>
    <mergeCell ref="F18:F19"/>
    <mergeCell ref="G3:I3"/>
    <mergeCell ref="G5:I5"/>
    <mergeCell ref="G10:I10"/>
    <mergeCell ref="G11:I11"/>
    <mergeCell ref="G13:I13"/>
    <mergeCell ref="G7:I7"/>
    <mergeCell ref="G8:I8"/>
    <mergeCell ref="G9:I9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I278"/>
  <sheetViews>
    <sheetView zoomScale="80" zoomScaleNormal="80" zoomScaleSheetLayoutView="90" workbookViewId="0" topLeftCell="A22">
      <selection activeCell="G34" sqref="G34"/>
    </sheetView>
  </sheetViews>
  <sheetFormatPr defaultColWidth="9.140625" defaultRowHeight="12.75"/>
  <cols>
    <col min="1" max="1" width="61.57421875" style="142" customWidth="1"/>
    <col min="2" max="2" width="16.140625" style="158" customWidth="1"/>
    <col min="3" max="3" width="7.00390625" style="158" customWidth="1"/>
    <col min="4" max="4" width="4.421875" style="158" customWidth="1"/>
    <col min="5" max="5" width="4.140625" style="158" customWidth="1"/>
    <col min="6" max="6" width="4.28125" style="158" customWidth="1"/>
    <col min="7" max="7" width="11.8515625" style="143" customWidth="1"/>
    <col min="8" max="8" width="12.00390625" style="145" customWidth="1"/>
    <col min="9" max="9" width="11.7109375" style="145" customWidth="1"/>
    <col min="10" max="10" width="18.00390625" style="143" customWidth="1"/>
    <col min="11" max="11" width="10.8515625" style="143" customWidth="1"/>
    <col min="12" max="13" width="14.57421875" style="143" bestFit="1" customWidth="1"/>
    <col min="14" max="16384" width="9.140625" style="143" customWidth="1"/>
  </cols>
  <sheetData>
    <row r="2" spans="2:9" ht="15.75">
      <c r="B2" s="404" t="s">
        <v>662</v>
      </c>
      <c r="C2" s="404"/>
      <c r="D2" s="404"/>
      <c r="E2" s="404"/>
      <c r="F2" s="404"/>
      <c r="G2" s="404"/>
      <c r="H2" s="404"/>
      <c r="I2" s="404"/>
    </row>
    <row r="3" spans="2:9" ht="15.75">
      <c r="B3" s="405" t="s">
        <v>628</v>
      </c>
      <c r="C3" s="405"/>
      <c r="D3" s="405"/>
      <c r="E3" s="405"/>
      <c r="F3" s="405"/>
      <c r="G3" s="405"/>
      <c r="H3" s="405"/>
      <c r="I3" s="405"/>
    </row>
    <row r="4" spans="2:9" ht="15.75">
      <c r="B4" s="203"/>
      <c r="C4" s="408" t="s">
        <v>629</v>
      </c>
      <c r="D4" s="333"/>
      <c r="E4" s="333"/>
      <c r="F4" s="333"/>
      <c r="G4" s="333"/>
      <c r="H4" s="333"/>
      <c r="I4" s="333"/>
    </row>
    <row r="5" spans="2:9" ht="15.75">
      <c r="B5" s="405"/>
      <c r="C5" s="405"/>
      <c r="D5" s="405"/>
      <c r="E5" s="405"/>
      <c r="F5" s="405"/>
      <c r="G5" s="405"/>
      <c r="H5" s="405"/>
      <c r="I5" s="405"/>
    </row>
    <row r="6" spans="2:9" ht="15.75">
      <c r="B6" s="405" t="s">
        <v>317</v>
      </c>
      <c r="C6" s="405"/>
      <c r="D6" s="405"/>
      <c r="E6" s="405"/>
      <c r="F6" s="405"/>
      <c r="G6" s="405"/>
      <c r="H6" s="405"/>
      <c r="I6" s="405"/>
    </row>
    <row r="7" spans="2:9" ht="15.75">
      <c r="B7" s="203"/>
      <c r="C7" s="203"/>
      <c r="D7" s="203"/>
      <c r="E7" s="203"/>
      <c r="F7" s="203"/>
      <c r="G7" s="203"/>
      <c r="H7" s="203"/>
      <c r="I7" s="203"/>
    </row>
    <row r="8" spans="2:9" ht="22.5" customHeight="1">
      <c r="B8" s="406" t="s">
        <v>569</v>
      </c>
      <c r="C8" s="406"/>
      <c r="D8" s="406"/>
      <c r="E8" s="406"/>
      <c r="F8" s="406"/>
      <c r="G8" s="406"/>
      <c r="H8" s="406"/>
      <c r="I8" s="406"/>
    </row>
    <row r="9" spans="2:9" ht="22.5" customHeight="1">
      <c r="B9" s="407" t="s">
        <v>318</v>
      </c>
      <c r="C9" s="407"/>
      <c r="D9" s="407"/>
      <c r="E9" s="407"/>
      <c r="F9" s="407"/>
      <c r="G9" s="407"/>
      <c r="H9" s="407"/>
      <c r="I9" s="407"/>
    </row>
    <row r="10" spans="2:9" ht="19.5" customHeight="1">
      <c r="B10" s="406" t="s">
        <v>630</v>
      </c>
      <c r="C10" s="406"/>
      <c r="D10" s="406"/>
      <c r="E10" s="406"/>
      <c r="F10" s="406"/>
      <c r="G10" s="406"/>
      <c r="H10" s="406"/>
      <c r="I10" s="406"/>
    </row>
    <row r="11" spans="2:9" ht="19.5" customHeight="1">
      <c r="B11" s="406" t="s">
        <v>631</v>
      </c>
      <c r="C11" s="406"/>
      <c r="D11" s="406"/>
      <c r="E11" s="406"/>
      <c r="F11" s="406"/>
      <c r="G11" s="406"/>
      <c r="H11" s="406"/>
      <c r="I11" s="406"/>
    </row>
    <row r="12" spans="2:9" ht="19.5" customHeight="1">
      <c r="B12" s="406" t="s">
        <v>515</v>
      </c>
      <c r="C12" s="406"/>
      <c r="D12" s="406"/>
      <c r="E12" s="406"/>
      <c r="F12" s="406"/>
      <c r="G12" s="406"/>
      <c r="H12" s="406"/>
      <c r="I12" s="406"/>
    </row>
    <row r="13" spans="2:7" ht="15.75">
      <c r="B13" s="416" t="s">
        <v>558</v>
      </c>
      <c r="C13" s="417"/>
      <c r="D13" s="417"/>
      <c r="E13" s="417"/>
      <c r="F13" s="417"/>
      <c r="G13" s="417"/>
    </row>
    <row r="14" spans="2:7" ht="18.75">
      <c r="B14" s="144"/>
      <c r="C14" s="144"/>
      <c r="D14" s="144"/>
      <c r="E14" s="144"/>
      <c r="F14" s="144"/>
      <c r="G14" s="144"/>
    </row>
    <row r="15" spans="1:9" ht="18.75">
      <c r="A15" s="409" t="s">
        <v>532</v>
      </c>
      <c r="B15" s="409"/>
      <c r="C15" s="409"/>
      <c r="D15" s="409"/>
      <c r="E15" s="409"/>
      <c r="F15" s="409"/>
      <c r="G15" s="409"/>
      <c r="H15" s="409"/>
      <c r="I15" s="409"/>
    </row>
    <row r="16" spans="1:9" ht="18.75">
      <c r="A16" s="410" t="s">
        <v>531</v>
      </c>
      <c r="B16" s="410"/>
      <c r="C16" s="410"/>
      <c r="D16" s="410"/>
      <c r="E16" s="410"/>
      <c r="F16" s="410"/>
      <c r="G16" s="410"/>
      <c r="H16" s="410"/>
      <c r="I16" s="410"/>
    </row>
    <row r="17" spans="1:9" ht="18.75">
      <c r="A17" s="411"/>
      <c r="B17" s="411"/>
      <c r="C17" s="411"/>
      <c r="D17" s="411"/>
      <c r="E17" s="411"/>
      <c r="F17" s="411"/>
      <c r="G17" s="411"/>
      <c r="H17" s="411"/>
      <c r="I17" s="411"/>
    </row>
    <row r="18" spans="1:9" ht="18.75">
      <c r="A18" s="146"/>
      <c r="B18" s="146"/>
      <c r="C18" s="146"/>
      <c r="D18" s="146"/>
      <c r="E18" s="146"/>
      <c r="F18" s="146"/>
      <c r="G18" s="146"/>
      <c r="H18" s="412" t="s">
        <v>224</v>
      </c>
      <c r="I18" s="412"/>
    </row>
    <row r="19" spans="1:9" ht="23.25" customHeight="1">
      <c r="A19" s="418" t="s">
        <v>142</v>
      </c>
      <c r="B19" s="418" t="s">
        <v>114</v>
      </c>
      <c r="C19" s="418" t="s">
        <v>309</v>
      </c>
      <c r="D19" s="420" t="s">
        <v>310</v>
      </c>
      <c r="E19" s="420" t="s">
        <v>311</v>
      </c>
      <c r="F19" s="418" t="s">
        <v>112</v>
      </c>
      <c r="G19" s="413" t="s">
        <v>222</v>
      </c>
      <c r="H19" s="414"/>
      <c r="I19" s="415"/>
    </row>
    <row r="20" spans="1:9" ht="15.75">
      <c r="A20" s="419"/>
      <c r="B20" s="419"/>
      <c r="C20" s="419"/>
      <c r="D20" s="421"/>
      <c r="E20" s="421"/>
      <c r="F20" s="419"/>
      <c r="G20" s="147" t="s">
        <v>326</v>
      </c>
      <c r="H20" s="147" t="s">
        <v>399</v>
      </c>
      <c r="I20" s="147" t="s">
        <v>512</v>
      </c>
    </row>
    <row r="21" spans="1:9" ht="15.75">
      <c r="A21" s="148">
        <v>1</v>
      </c>
      <c r="B21" s="148">
        <v>2</v>
      </c>
      <c r="C21" s="148">
        <v>3</v>
      </c>
      <c r="D21" s="149" t="s">
        <v>312</v>
      </c>
      <c r="E21" s="149" t="s">
        <v>313</v>
      </c>
      <c r="F21" s="148">
        <v>6</v>
      </c>
      <c r="G21" s="148">
        <v>7</v>
      </c>
      <c r="H21" s="150">
        <v>8</v>
      </c>
      <c r="I21" s="150">
        <v>9</v>
      </c>
    </row>
    <row r="22" spans="1:9" ht="48.75" customHeight="1">
      <c r="A22" s="284" t="s">
        <v>553</v>
      </c>
      <c r="B22" s="151" t="s">
        <v>316</v>
      </c>
      <c r="C22" s="151"/>
      <c r="D22" s="152"/>
      <c r="E22" s="152"/>
      <c r="F22" s="152"/>
      <c r="G22" s="289">
        <f>G23+G26+G31+G34+G39</f>
        <v>68815.4</v>
      </c>
      <c r="H22" s="289">
        <f>H23+H26+H31+H34+H39</f>
        <v>3938.8</v>
      </c>
      <c r="I22" s="289">
        <f>I23+I26+I31+I34+I39</f>
        <v>3938.8</v>
      </c>
    </row>
    <row r="23" spans="1:9" ht="63" hidden="1">
      <c r="A23" s="221" t="s">
        <v>443</v>
      </c>
      <c r="B23" s="282" t="s">
        <v>391</v>
      </c>
      <c r="C23" s="154"/>
      <c r="D23" s="154"/>
      <c r="E23" s="154"/>
      <c r="F23" s="154"/>
      <c r="G23" s="277">
        <f aca="true" t="shared" si="0" ref="G23:I24">G24</f>
        <v>0</v>
      </c>
      <c r="H23" s="277">
        <f t="shared" si="0"/>
        <v>0</v>
      </c>
      <c r="I23" s="277">
        <f t="shared" si="0"/>
        <v>0</v>
      </c>
    </row>
    <row r="24" spans="1:9" ht="31.5" hidden="1">
      <c r="A24" s="285" t="s">
        <v>301</v>
      </c>
      <c r="B24" s="154" t="s">
        <v>392</v>
      </c>
      <c r="C24" s="154"/>
      <c r="D24" s="154"/>
      <c r="E24" s="154"/>
      <c r="F24" s="154"/>
      <c r="G24" s="277">
        <f t="shared" si="0"/>
        <v>0</v>
      </c>
      <c r="H24" s="277">
        <f t="shared" si="0"/>
        <v>0</v>
      </c>
      <c r="I24" s="277">
        <f t="shared" si="0"/>
        <v>0</v>
      </c>
    </row>
    <row r="25" spans="1:9" ht="15.75" hidden="1">
      <c r="A25" s="153" t="s">
        <v>355</v>
      </c>
      <c r="B25" s="154" t="s">
        <v>392</v>
      </c>
      <c r="C25" s="154" t="s">
        <v>239</v>
      </c>
      <c r="D25" s="154" t="s">
        <v>109</v>
      </c>
      <c r="E25" s="154" t="s">
        <v>173</v>
      </c>
      <c r="F25" s="154" t="s">
        <v>319</v>
      </c>
      <c r="G25" s="277">
        <v>0</v>
      </c>
      <c r="H25" s="277">
        <v>0</v>
      </c>
      <c r="I25" s="277">
        <v>0</v>
      </c>
    </row>
    <row r="26" spans="1:9" ht="32.25" customHeight="1">
      <c r="A26" s="60" t="s">
        <v>647</v>
      </c>
      <c r="B26" s="214" t="s">
        <v>452</v>
      </c>
      <c r="C26" s="154"/>
      <c r="D26" s="154"/>
      <c r="E26" s="154"/>
      <c r="F26" s="154"/>
      <c r="G26" s="277">
        <f>G27+G29</f>
        <v>2106.9</v>
      </c>
      <c r="H26" s="277">
        <f>H27+H29</f>
        <v>100</v>
      </c>
      <c r="I26" s="277">
        <f>I27+I29</f>
        <v>100</v>
      </c>
    </row>
    <row r="27" spans="1:9" ht="22.5" customHeight="1">
      <c r="A27" s="60" t="s">
        <v>363</v>
      </c>
      <c r="B27" s="214" t="s">
        <v>432</v>
      </c>
      <c r="C27" s="154"/>
      <c r="D27" s="154"/>
      <c r="E27" s="154"/>
      <c r="F27" s="154"/>
      <c r="G27" s="277">
        <f>G28</f>
        <v>42</v>
      </c>
      <c r="H27" s="277">
        <f>H28</f>
        <v>100</v>
      </c>
      <c r="I27" s="277">
        <f>I28</f>
        <v>100</v>
      </c>
    </row>
    <row r="28" spans="1:9" ht="32.25" customHeight="1">
      <c r="A28" s="133" t="s">
        <v>575</v>
      </c>
      <c r="B28" s="214" t="s">
        <v>432</v>
      </c>
      <c r="C28" s="154" t="s">
        <v>239</v>
      </c>
      <c r="D28" s="154" t="s">
        <v>109</v>
      </c>
      <c r="E28" s="154" t="s">
        <v>173</v>
      </c>
      <c r="F28" s="154" t="s">
        <v>570</v>
      </c>
      <c r="G28" s="277">
        <f>100-58</f>
        <v>42</v>
      </c>
      <c r="H28" s="277">
        <v>100</v>
      </c>
      <c r="I28" s="277">
        <v>100</v>
      </c>
    </row>
    <row r="29" spans="1:9" ht="18.75" customHeight="1">
      <c r="A29" s="315" t="s">
        <v>646</v>
      </c>
      <c r="B29" s="214" t="s">
        <v>645</v>
      </c>
      <c r="C29" s="154"/>
      <c r="D29" s="154"/>
      <c r="E29" s="154"/>
      <c r="F29" s="154"/>
      <c r="G29" s="277">
        <f>G30</f>
        <v>2064.9</v>
      </c>
      <c r="H29" s="277">
        <f>H30</f>
        <v>0</v>
      </c>
      <c r="I29" s="277">
        <f>I30</f>
        <v>0</v>
      </c>
    </row>
    <row r="30" spans="1:9" ht="32.25" customHeight="1">
      <c r="A30" s="133" t="s">
        <v>575</v>
      </c>
      <c r="B30" s="214" t="s">
        <v>645</v>
      </c>
      <c r="C30" s="154" t="s">
        <v>239</v>
      </c>
      <c r="D30" s="154" t="s">
        <v>109</v>
      </c>
      <c r="E30" s="154" t="s">
        <v>173</v>
      </c>
      <c r="F30" s="154" t="s">
        <v>570</v>
      </c>
      <c r="G30" s="277">
        <f>1534.2+485+65.8-20.1</f>
        <v>2064.9</v>
      </c>
      <c r="H30" s="277">
        <v>0</v>
      </c>
      <c r="I30" s="277">
        <v>0</v>
      </c>
    </row>
    <row r="31" spans="1:9" ht="30.75" customHeight="1">
      <c r="A31" s="131" t="s">
        <v>635</v>
      </c>
      <c r="B31" s="83" t="s">
        <v>638</v>
      </c>
      <c r="C31" s="61">
        <v>156</v>
      </c>
      <c r="D31" s="80" t="s">
        <v>109</v>
      </c>
      <c r="E31" s="80" t="s">
        <v>173</v>
      </c>
      <c r="F31" s="95"/>
      <c r="G31" s="277">
        <f aca="true" t="shared" si="1" ref="G31:I32">G32</f>
        <v>7886.400000000001</v>
      </c>
      <c r="H31" s="277">
        <f t="shared" si="1"/>
        <v>0</v>
      </c>
      <c r="I31" s="277">
        <f t="shared" si="1"/>
        <v>0</v>
      </c>
    </row>
    <row r="32" spans="1:9" ht="19.5" customHeight="1">
      <c r="A32" s="60" t="s">
        <v>374</v>
      </c>
      <c r="B32" s="83" t="s">
        <v>639</v>
      </c>
      <c r="C32" s="61">
        <v>156</v>
      </c>
      <c r="D32" s="80" t="s">
        <v>109</v>
      </c>
      <c r="E32" s="80" t="s">
        <v>173</v>
      </c>
      <c r="F32" s="95"/>
      <c r="G32" s="277">
        <f t="shared" si="1"/>
        <v>7886.400000000001</v>
      </c>
      <c r="H32" s="277">
        <f t="shared" si="1"/>
        <v>0</v>
      </c>
      <c r="I32" s="277">
        <f t="shared" si="1"/>
        <v>0</v>
      </c>
    </row>
    <row r="33" spans="1:9" ht="30.75" customHeight="1">
      <c r="A33" s="133" t="s">
        <v>575</v>
      </c>
      <c r="B33" s="83" t="s">
        <v>639</v>
      </c>
      <c r="C33" s="61">
        <v>156</v>
      </c>
      <c r="D33" s="80" t="s">
        <v>109</v>
      </c>
      <c r="E33" s="80" t="s">
        <v>173</v>
      </c>
      <c r="F33" s="95">
        <v>240</v>
      </c>
      <c r="G33" s="277">
        <f>1150+7810.6+360-1434.2</f>
        <v>7886.400000000001</v>
      </c>
      <c r="H33" s="277"/>
      <c r="I33" s="277"/>
    </row>
    <row r="34" spans="1:9" ht="30.75" customHeight="1">
      <c r="A34" s="60" t="s">
        <v>636</v>
      </c>
      <c r="B34" s="83" t="s">
        <v>640</v>
      </c>
      <c r="C34" s="61">
        <v>156</v>
      </c>
      <c r="D34" s="80" t="s">
        <v>109</v>
      </c>
      <c r="E34" s="80" t="s">
        <v>173</v>
      </c>
      <c r="F34" s="95"/>
      <c r="G34" s="277">
        <f>G35+G37</f>
        <v>2346.1</v>
      </c>
      <c r="H34" s="277">
        <f>H35+H37</f>
        <v>0</v>
      </c>
      <c r="I34" s="277">
        <f>I35+I37</f>
        <v>0</v>
      </c>
    </row>
    <row r="35" spans="1:9" ht="30.75" customHeight="1">
      <c r="A35" s="131" t="s">
        <v>624</v>
      </c>
      <c r="B35" s="83" t="s">
        <v>641</v>
      </c>
      <c r="C35" s="61">
        <v>156</v>
      </c>
      <c r="D35" s="80" t="s">
        <v>109</v>
      </c>
      <c r="E35" s="80" t="s">
        <v>173</v>
      </c>
      <c r="F35" s="95"/>
      <c r="G35" s="277">
        <f>G36</f>
        <v>387.29999999999995</v>
      </c>
      <c r="H35" s="277">
        <f>H36</f>
        <v>0</v>
      </c>
      <c r="I35" s="277">
        <f>I36</f>
        <v>0</v>
      </c>
    </row>
    <row r="36" spans="1:9" ht="30.75" customHeight="1">
      <c r="A36" s="133" t="s">
        <v>575</v>
      </c>
      <c r="B36" s="83" t="s">
        <v>641</v>
      </c>
      <c r="C36" s="61">
        <v>156</v>
      </c>
      <c r="D36" s="80" t="s">
        <v>109</v>
      </c>
      <c r="E36" s="80" t="s">
        <v>173</v>
      </c>
      <c r="F36" s="95">
        <v>240</v>
      </c>
      <c r="G36" s="277">
        <f>692.3-255-50</f>
        <v>387.29999999999995</v>
      </c>
      <c r="H36" s="277"/>
      <c r="I36" s="277"/>
    </row>
    <row r="37" spans="1:9" ht="19.5" customHeight="1">
      <c r="A37" s="131" t="s">
        <v>625</v>
      </c>
      <c r="B37" s="83" t="s">
        <v>642</v>
      </c>
      <c r="C37" s="61">
        <v>156</v>
      </c>
      <c r="D37" s="80" t="s">
        <v>109</v>
      </c>
      <c r="E37" s="80" t="s">
        <v>173</v>
      </c>
      <c r="F37" s="95"/>
      <c r="G37" s="277">
        <f>G38</f>
        <v>1958.8</v>
      </c>
      <c r="H37" s="277">
        <f>H38</f>
        <v>0</v>
      </c>
      <c r="I37" s="277">
        <f>I38</f>
        <v>0</v>
      </c>
    </row>
    <row r="38" spans="1:9" ht="30.75" customHeight="1">
      <c r="A38" s="133" t="s">
        <v>575</v>
      </c>
      <c r="B38" s="83" t="s">
        <v>642</v>
      </c>
      <c r="C38" s="61">
        <v>156</v>
      </c>
      <c r="D38" s="80" t="s">
        <v>109</v>
      </c>
      <c r="E38" s="80" t="s">
        <v>173</v>
      </c>
      <c r="F38" s="95">
        <v>240</v>
      </c>
      <c r="G38" s="277">
        <v>1958.8</v>
      </c>
      <c r="H38" s="277"/>
      <c r="I38" s="277"/>
    </row>
    <row r="39" spans="1:9" ht="36.75" customHeight="1">
      <c r="A39" s="221" t="s">
        <v>524</v>
      </c>
      <c r="B39" s="282" t="s">
        <v>391</v>
      </c>
      <c r="C39" s="154"/>
      <c r="D39" s="154"/>
      <c r="E39" s="154"/>
      <c r="F39" s="154"/>
      <c r="G39" s="277">
        <f>G40+G42+G44+G46</f>
        <v>56476</v>
      </c>
      <c r="H39" s="277">
        <f>H40+H42+H44+H46</f>
        <v>3838.8</v>
      </c>
      <c r="I39" s="277">
        <f>I40+I42+I44+I46</f>
        <v>3838.8</v>
      </c>
    </row>
    <row r="40" spans="1:9" ht="66" customHeight="1">
      <c r="A40" s="283" t="s">
        <v>525</v>
      </c>
      <c r="B40" s="83" t="s">
        <v>637</v>
      </c>
      <c r="C40" s="154"/>
      <c r="D40" s="154"/>
      <c r="E40" s="154"/>
      <c r="F40" s="154"/>
      <c r="G40" s="277">
        <f>G41</f>
        <v>50000</v>
      </c>
      <c r="H40" s="277">
        <f>H41</f>
        <v>0</v>
      </c>
      <c r="I40" s="277">
        <f>I41</f>
        <v>0</v>
      </c>
    </row>
    <row r="41" spans="1:9" ht="30.75" customHeight="1">
      <c r="A41" s="297" t="s">
        <v>575</v>
      </c>
      <c r="B41" s="83" t="s">
        <v>637</v>
      </c>
      <c r="C41" s="154" t="s">
        <v>239</v>
      </c>
      <c r="D41" s="154" t="s">
        <v>109</v>
      </c>
      <c r="E41" s="154" t="s">
        <v>173</v>
      </c>
      <c r="F41" s="154" t="s">
        <v>570</v>
      </c>
      <c r="G41" s="277">
        <f>50000+8960.6-8960.6</f>
        <v>50000</v>
      </c>
      <c r="H41" s="277">
        <v>0</v>
      </c>
      <c r="I41" s="277">
        <v>0</v>
      </c>
    </row>
    <row r="42" spans="1:9" ht="31.5">
      <c r="A42" s="153" t="s">
        <v>301</v>
      </c>
      <c r="B42" s="154" t="s">
        <v>392</v>
      </c>
      <c r="C42" s="154"/>
      <c r="D42" s="154"/>
      <c r="E42" s="154"/>
      <c r="F42" s="154"/>
      <c r="G42" s="277">
        <f>G43</f>
        <v>5364.9</v>
      </c>
      <c r="H42" s="277">
        <f>H43</f>
        <v>3838.8</v>
      </c>
      <c r="I42" s="277">
        <f>I43</f>
        <v>3838.8</v>
      </c>
    </row>
    <row r="43" spans="1:9" ht="29.25" customHeight="1">
      <c r="A43" s="297" t="s">
        <v>575</v>
      </c>
      <c r="B43" s="154" t="s">
        <v>392</v>
      </c>
      <c r="C43" s="154" t="s">
        <v>239</v>
      </c>
      <c r="D43" s="154" t="s">
        <v>109</v>
      </c>
      <c r="E43" s="154" t="s">
        <v>173</v>
      </c>
      <c r="F43" s="154" t="s">
        <v>570</v>
      </c>
      <c r="G43" s="277">
        <f>5364.9+34.2+1500-1534.2</f>
        <v>5364.9</v>
      </c>
      <c r="H43" s="277">
        <v>3838.8</v>
      </c>
      <c r="I43" s="277">
        <v>3838.8</v>
      </c>
    </row>
    <row r="44" spans="1:9" ht="15.75">
      <c r="A44" s="153" t="s">
        <v>374</v>
      </c>
      <c r="B44" s="154" t="s">
        <v>611</v>
      </c>
      <c r="C44" s="216"/>
      <c r="D44" s="216"/>
      <c r="E44" s="216"/>
      <c r="F44" s="216"/>
      <c r="G44" s="277">
        <f>G45</f>
        <v>1111.1</v>
      </c>
      <c r="H44" s="277">
        <f>H45</f>
        <v>0</v>
      </c>
      <c r="I44" s="277">
        <f>I45</f>
        <v>0</v>
      </c>
    </row>
    <row r="45" spans="1:9" ht="31.5">
      <c r="A45" s="297" t="s">
        <v>575</v>
      </c>
      <c r="B45" s="154" t="s">
        <v>611</v>
      </c>
      <c r="C45" s="154" t="s">
        <v>239</v>
      </c>
      <c r="D45" s="154" t="s">
        <v>109</v>
      </c>
      <c r="E45" s="154" t="s">
        <v>173</v>
      </c>
      <c r="F45" s="154" t="s">
        <v>570</v>
      </c>
      <c r="G45" s="277">
        <v>1111.1</v>
      </c>
      <c r="H45" s="277">
        <v>0</v>
      </c>
      <c r="I45" s="277">
        <v>0</v>
      </c>
    </row>
    <row r="46" spans="1:9" ht="15.75">
      <c r="A46" s="153" t="s">
        <v>374</v>
      </c>
      <c r="B46" s="154" t="s">
        <v>612</v>
      </c>
      <c r="C46" s="154"/>
      <c r="D46" s="154"/>
      <c r="E46" s="154"/>
      <c r="F46" s="154"/>
      <c r="G46" s="313">
        <f>G47</f>
        <v>0</v>
      </c>
      <c r="H46" s="313">
        <f>H47</f>
        <v>0</v>
      </c>
      <c r="I46" s="313">
        <f>I47</f>
        <v>0</v>
      </c>
    </row>
    <row r="47" spans="1:9" ht="31.5">
      <c r="A47" s="297" t="s">
        <v>575</v>
      </c>
      <c r="B47" s="154" t="s">
        <v>612</v>
      </c>
      <c r="C47" s="154" t="s">
        <v>239</v>
      </c>
      <c r="D47" s="154" t="s">
        <v>109</v>
      </c>
      <c r="E47" s="154" t="s">
        <v>173</v>
      </c>
      <c r="F47" s="154" t="s">
        <v>319</v>
      </c>
      <c r="G47" s="277">
        <f>8960.6-8960.6</f>
        <v>0</v>
      </c>
      <c r="H47" s="277">
        <v>0</v>
      </c>
      <c r="I47" s="277">
        <v>0</v>
      </c>
    </row>
    <row r="48" spans="1:9" ht="60" customHeight="1">
      <c r="A48" s="197" t="s">
        <v>428</v>
      </c>
      <c r="B48" s="151" t="s">
        <v>352</v>
      </c>
      <c r="C48" s="194"/>
      <c r="D48" s="195"/>
      <c r="E48" s="195"/>
      <c r="F48" s="148"/>
      <c r="G48" s="276">
        <f>G49+G56+G59+G62+G65+G68</f>
        <v>24536.899999999998</v>
      </c>
      <c r="H48" s="276">
        <f>H49+H56+H65+H68</f>
        <v>2295</v>
      </c>
      <c r="I48" s="276">
        <f>I49+I56+I65+I68</f>
        <v>2438</v>
      </c>
    </row>
    <row r="49" spans="1:9" ht="47.25">
      <c r="A49" s="196" t="s">
        <v>490</v>
      </c>
      <c r="B49" s="154" t="s">
        <v>353</v>
      </c>
      <c r="C49" s="148"/>
      <c r="D49" s="149"/>
      <c r="E49" s="149"/>
      <c r="F49" s="148"/>
      <c r="G49" s="277">
        <f>G50+G53</f>
        <v>3415.1</v>
      </c>
      <c r="H49" s="277">
        <f>H50+H53</f>
        <v>2295</v>
      </c>
      <c r="I49" s="277">
        <f>I50+I53</f>
        <v>2438</v>
      </c>
    </row>
    <row r="50" spans="1:9" ht="17.25" customHeight="1">
      <c r="A50" s="196" t="s">
        <v>300</v>
      </c>
      <c r="B50" s="154" t="s">
        <v>354</v>
      </c>
      <c r="C50" s="148"/>
      <c r="D50" s="149"/>
      <c r="E50" s="149"/>
      <c r="F50" s="148"/>
      <c r="G50" s="279">
        <f>G51+G52</f>
        <v>2673</v>
      </c>
      <c r="H50" s="279">
        <f>H51+H52</f>
        <v>2295</v>
      </c>
      <c r="I50" s="279">
        <f>I51+I52</f>
        <v>2438</v>
      </c>
    </row>
    <row r="51" spans="1:9" ht="30.75" customHeight="1">
      <c r="A51" s="133" t="s">
        <v>575</v>
      </c>
      <c r="B51" s="154" t="s">
        <v>354</v>
      </c>
      <c r="C51" s="148">
        <v>156</v>
      </c>
      <c r="D51" s="149" t="s">
        <v>174</v>
      </c>
      <c r="E51" s="149" t="s">
        <v>108</v>
      </c>
      <c r="F51" s="148">
        <v>240</v>
      </c>
      <c r="G51" s="280">
        <v>30</v>
      </c>
      <c r="H51" s="280">
        <v>0</v>
      </c>
      <c r="I51" s="280">
        <v>0</v>
      </c>
    </row>
    <row r="52" spans="1:9" ht="15.75">
      <c r="A52" s="297" t="s">
        <v>577</v>
      </c>
      <c r="B52" s="154" t="s">
        <v>354</v>
      </c>
      <c r="C52" s="148">
        <v>156</v>
      </c>
      <c r="D52" s="149" t="s">
        <v>174</v>
      </c>
      <c r="E52" s="149" t="s">
        <v>108</v>
      </c>
      <c r="F52" s="148">
        <v>610</v>
      </c>
      <c r="G52" s="319">
        <v>2643</v>
      </c>
      <c r="H52" s="320">
        <v>2295</v>
      </c>
      <c r="I52" s="320">
        <v>2438</v>
      </c>
    </row>
    <row r="53" spans="1:9" ht="47.25">
      <c r="A53" s="60" t="s">
        <v>304</v>
      </c>
      <c r="B53" s="83" t="s">
        <v>500</v>
      </c>
      <c r="C53" s="148"/>
      <c r="D53" s="149"/>
      <c r="E53" s="149"/>
      <c r="F53" s="148"/>
      <c r="G53" s="280">
        <f>G54+G55</f>
        <v>742.1</v>
      </c>
      <c r="H53" s="280">
        <f>H55</f>
        <v>0</v>
      </c>
      <c r="I53" s="280">
        <f>I55</f>
        <v>0</v>
      </c>
    </row>
    <row r="54" spans="1:9" ht="31.5">
      <c r="A54" s="133" t="s">
        <v>575</v>
      </c>
      <c r="B54" s="83" t="s">
        <v>500</v>
      </c>
      <c r="C54" s="148">
        <v>156</v>
      </c>
      <c r="D54" s="149" t="s">
        <v>174</v>
      </c>
      <c r="E54" s="149" t="s">
        <v>108</v>
      </c>
      <c r="F54" s="148">
        <v>240</v>
      </c>
      <c r="G54" s="280">
        <f>401.7+180.4</f>
        <v>582.1</v>
      </c>
      <c r="H54" s="280"/>
      <c r="I54" s="280"/>
    </row>
    <row r="55" spans="1:9" ht="15.75">
      <c r="A55" s="196" t="s">
        <v>87</v>
      </c>
      <c r="B55" s="83" t="s">
        <v>500</v>
      </c>
      <c r="C55" s="148">
        <v>156</v>
      </c>
      <c r="D55" s="149" t="s">
        <v>174</v>
      </c>
      <c r="E55" s="149" t="s">
        <v>108</v>
      </c>
      <c r="F55" s="148">
        <v>610</v>
      </c>
      <c r="G55" s="287">
        <v>160</v>
      </c>
      <c r="H55" s="280">
        <v>0</v>
      </c>
      <c r="I55" s="280">
        <v>0</v>
      </c>
    </row>
    <row r="56" spans="1:9" ht="32.25" customHeight="1">
      <c r="A56" s="131" t="s">
        <v>435</v>
      </c>
      <c r="B56" s="83">
        <v>3900200000</v>
      </c>
      <c r="C56" s="148"/>
      <c r="D56" s="149"/>
      <c r="E56" s="149"/>
      <c r="F56" s="148"/>
      <c r="G56" s="277">
        <f>G57</f>
        <v>900.4000000000001</v>
      </c>
      <c r="H56" s="277">
        <f>H59+H63</f>
        <v>0</v>
      </c>
      <c r="I56" s="277">
        <f>I59+I63</f>
        <v>0</v>
      </c>
    </row>
    <row r="57" spans="1:9" ht="66.75" customHeight="1">
      <c r="A57" s="60" t="s">
        <v>305</v>
      </c>
      <c r="B57" s="83" t="s">
        <v>356</v>
      </c>
      <c r="C57" s="148"/>
      <c r="D57" s="149"/>
      <c r="E57" s="149"/>
      <c r="F57" s="148"/>
      <c r="G57" s="277">
        <f>G58</f>
        <v>900.4000000000001</v>
      </c>
      <c r="H57" s="277">
        <f>H58</f>
        <v>0</v>
      </c>
      <c r="I57" s="277">
        <f>I58</f>
        <v>0</v>
      </c>
    </row>
    <row r="58" spans="1:9" ht="33.75" customHeight="1">
      <c r="A58" s="133" t="s">
        <v>575</v>
      </c>
      <c r="B58" s="83" t="s">
        <v>356</v>
      </c>
      <c r="C58" s="148">
        <v>156</v>
      </c>
      <c r="D58" s="149" t="s">
        <v>174</v>
      </c>
      <c r="E58" s="149" t="s">
        <v>108</v>
      </c>
      <c r="F58" s="148">
        <v>240</v>
      </c>
      <c r="G58" s="277">
        <f>1033.5+200-206.3-126.8</f>
        <v>900.4000000000001</v>
      </c>
      <c r="H58" s="277">
        <v>0</v>
      </c>
      <c r="I58" s="277">
        <v>0</v>
      </c>
    </row>
    <row r="59" spans="1:9" ht="31.5" hidden="1">
      <c r="A59" s="196" t="s">
        <v>445</v>
      </c>
      <c r="B59" s="83">
        <v>3900400000</v>
      </c>
      <c r="C59" s="148"/>
      <c r="D59" s="149"/>
      <c r="E59" s="149"/>
      <c r="F59" s="148"/>
      <c r="G59" s="237">
        <f>G61</f>
        <v>0</v>
      </c>
      <c r="H59" s="237">
        <f>H61</f>
        <v>0</v>
      </c>
      <c r="I59" s="237">
        <f>I61</f>
        <v>0</v>
      </c>
    </row>
    <row r="60" spans="1:9" ht="15.75" hidden="1">
      <c r="A60" s="196" t="s">
        <v>300</v>
      </c>
      <c r="B60" s="83">
        <v>3900420300</v>
      </c>
      <c r="C60" s="148"/>
      <c r="D60" s="149"/>
      <c r="E60" s="149"/>
      <c r="F60" s="148"/>
      <c r="G60" s="237"/>
      <c r="H60" s="237"/>
      <c r="I60" s="237"/>
    </row>
    <row r="61" spans="1:9" ht="15.75" hidden="1">
      <c r="A61" s="196" t="s">
        <v>355</v>
      </c>
      <c r="B61" s="83">
        <v>3900420300</v>
      </c>
      <c r="C61" s="148">
        <v>156</v>
      </c>
      <c r="D61" s="149" t="s">
        <v>174</v>
      </c>
      <c r="E61" s="149" t="s">
        <v>108</v>
      </c>
      <c r="F61" s="148">
        <v>244</v>
      </c>
      <c r="G61" s="237">
        <v>0</v>
      </c>
      <c r="H61" s="238">
        <v>0</v>
      </c>
      <c r="I61" s="238">
        <v>0</v>
      </c>
    </row>
    <row r="62" spans="1:9" ht="15.75">
      <c r="A62" s="131" t="s">
        <v>434</v>
      </c>
      <c r="B62" s="83">
        <v>3900500000</v>
      </c>
      <c r="C62" s="148"/>
      <c r="D62" s="149"/>
      <c r="E62" s="149"/>
      <c r="F62" s="148"/>
      <c r="G62" s="277">
        <f aca="true" t="shared" si="2" ref="G62:I63">G63</f>
        <v>18790.199999999997</v>
      </c>
      <c r="H62" s="277">
        <f t="shared" si="2"/>
        <v>0</v>
      </c>
      <c r="I62" s="277">
        <f t="shared" si="2"/>
        <v>0</v>
      </c>
    </row>
    <row r="63" spans="1:9" ht="48.75" customHeight="1">
      <c r="A63" s="60" t="s">
        <v>304</v>
      </c>
      <c r="B63" s="83" t="s">
        <v>433</v>
      </c>
      <c r="C63" s="148"/>
      <c r="D63" s="149"/>
      <c r="E63" s="149"/>
      <c r="F63" s="148"/>
      <c r="G63" s="277">
        <f t="shared" si="2"/>
        <v>18790.199999999997</v>
      </c>
      <c r="H63" s="277">
        <f t="shared" si="2"/>
        <v>0</v>
      </c>
      <c r="I63" s="277">
        <f t="shared" si="2"/>
        <v>0</v>
      </c>
    </row>
    <row r="64" spans="1:9" ht="14.25" customHeight="1">
      <c r="A64" s="60" t="s">
        <v>355</v>
      </c>
      <c r="B64" s="83" t="s">
        <v>433</v>
      </c>
      <c r="C64" s="148">
        <v>156</v>
      </c>
      <c r="D64" s="149" t="s">
        <v>174</v>
      </c>
      <c r="E64" s="149" t="s">
        <v>108</v>
      </c>
      <c r="F64" s="148">
        <v>244</v>
      </c>
      <c r="G64" s="266">
        <f>15128.6+4795.4-953.4-180.4</f>
        <v>18790.199999999997</v>
      </c>
      <c r="H64" s="281">
        <v>0</v>
      </c>
      <c r="I64" s="281">
        <v>0</v>
      </c>
    </row>
    <row r="65" spans="1:9" ht="47.25" customHeight="1" hidden="1">
      <c r="A65" s="60" t="s">
        <v>448</v>
      </c>
      <c r="B65" s="83">
        <v>3900600000</v>
      </c>
      <c r="C65" s="148"/>
      <c r="D65" s="149"/>
      <c r="E65" s="149"/>
      <c r="F65" s="148"/>
      <c r="G65" s="237">
        <f aca="true" t="shared" si="3" ref="G65:I66">G66</f>
        <v>0</v>
      </c>
      <c r="H65" s="237">
        <f t="shared" si="3"/>
        <v>0</v>
      </c>
      <c r="I65" s="237">
        <f t="shared" si="3"/>
        <v>0</v>
      </c>
    </row>
    <row r="66" spans="1:9" ht="15" customHeight="1" hidden="1">
      <c r="A66" s="196" t="s">
        <v>300</v>
      </c>
      <c r="B66" s="83">
        <v>3900620300</v>
      </c>
      <c r="C66" s="148"/>
      <c r="D66" s="149"/>
      <c r="E66" s="149"/>
      <c r="F66" s="148"/>
      <c r="G66" s="237">
        <f t="shared" si="3"/>
        <v>0</v>
      </c>
      <c r="H66" s="237">
        <f t="shared" si="3"/>
        <v>0</v>
      </c>
      <c r="I66" s="237">
        <f t="shared" si="3"/>
        <v>0</v>
      </c>
    </row>
    <row r="67" spans="1:9" ht="18" customHeight="1" hidden="1">
      <c r="A67" s="196" t="s">
        <v>355</v>
      </c>
      <c r="B67" s="83">
        <v>3900620300</v>
      </c>
      <c r="C67" s="148">
        <v>156</v>
      </c>
      <c r="D67" s="149" t="s">
        <v>174</v>
      </c>
      <c r="E67" s="149" t="s">
        <v>108</v>
      </c>
      <c r="F67" s="148">
        <v>244</v>
      </c>
      <c r="G67" s="180">
        <v>0</v>
      </c>
      <c r="H67" s="238">
        <v>0</v>
      </c>
      <c r="I67" s="238">
        <v>0</v>
      </c>
    </row>
    <row r="68" spans="1:9" ht="18" customHeight="1">
      <c r="A68" s="294" t="s">
        <v>535</v>
      </c>
      <c r="B68" s="95">
        <v>3900700000</v>
      </c>
      <c r="C68" s="295"/>
      <c r="D68" s="296"/>
      <c r="E68" s="296"/>
      <c r="F68" s="295"/>
      <c r="G68" s="277">
        <f aca="true" t="shared" si="4" ref="G68:I69">G69</f>
        <v>1431.2</v>
      </c>
      <c r="H68" s="277">
        <f t="shared" si="4"/>
        <v>0</v>
      </c>
      <c r="I68" s="277">
        <f t="shared" si="4"/>
        <v>0</v>
      </c>
    </row>
    <row r="69" spans="1:9" ht="14.25" customHeight="1">
      <c r="A69" s="297" t="s">
        <v>300</v>
      </c>
      <c r="B69" s="95">
        <v>3900720300</v>
      </c>
      <c r="C69" s="295"/>
      <c r="D69" s="296"/>
      <c r="E69" s="296"/>
      <c r="F69" s="295"/>
      <c r="G69" s="277">
        <f t="shared" si="4"/>
        <v>1431.2</v>
      </c>
      <c r="H69" s="277">
        <f t="shared" si="4"/>
        <v>0</v>
      </c>
      <c r="I69" s="277">
        <f t="shared" si="4"/>
        <v>0</v>
      </c>
    </row>
    <row r="70" spans="1:9" ht="29.25" customHeight="1">
      <c r="A70" s="297" t="s">
        <v>575</v>
      </c>
      <c r="B70" s="95">
        <v>3900720300</v>
      </c>
      <c r="C70" s="295">
        <v>156</v>
      </c>
      <c r="D70" s="296" t="s">
        <v>174</v>
      </c>
      <c r="E70" s="296" t="s">
        <v>108</v>
      </c>
      <c r="F70" s="295">
        <v>240</v>
      </c>
      <c r="G70" s="277">
        <f>75+174.2+1000+182</f>
        <v>1431.2</v>
      </c>
      <c r="H70" s="281">
        <v>0</v>
      </c>
      <c r="I70" s="281">
        <v>0</v>
      </c>
    </row>
    <row r="71" spans="1:9" ht="77.25" customHeight="1">
      <c r="A71" s="197" t="s">
        <v>377</v>
      </c>
      <c r="B71" s="152" t="s">
        <v>380</v>
      </c>
      <c r="C71" s="148"/>
      <c r="D71" s="149"/>
      <c r="E71" s="149"/>
      <c r="F71" s="148"/>
      <c r="G71" s="276">
        <f>G72+G75+G78+G81</f>
        <v>45401</v>
      </c>
      <c r="H71" s="276">
        <f>H72+H75+H78+H81</f>
        <v>21835.4</v>
      </c>
      <c r="I71" s="276">
        <f>I72+I75+I78+I81</f>
        <v>0</v>
      </c>
    </row>
    <row r="72" spans="1:9" ht="50.25" customHeight="1" hidden="1">
      <c r="A72" s="196" t="s">
        <v>378</v>
      </c>
      <c r="B72" s="154" t="s">
        <v>381</v>
      </c>
      <c r="C72" s="148"/>
      <c r="D72" s="149"/>
      <c r="E72" s="149"/>
      <c r="F72" s="148"/>
      <c r="G72" s="277">
        <f aca="true" t="shared" si="5" ref="G72:I73">G73</f>
        <v>0</v>
      </c>
      <c r="H72" s="277">
        <f t="shared" si="5"/>
        <v>0</v>
      </c>
      <c r="I72" s="277">
        <f t="shared" si="5"/>
        <v>0</v>
      </c>
    </row>
    <row r="73" spans="1:9" ht="31.5" customHeight="1" hidden="1">
      <c r="A73" s="196" t="s">
        <v>379</v>
      </c>
      <c r="B73" s="154" t="s">
        <v>385</v>
      </c>
      <c r="C73" s="148"/>
      <c r="D73" s="149"/>
      <c r="E73" s="149"/>
      <c r="F73" s="148"/>
      <c r="G73" s="277">
        <f t="shared" si="5"/>
        <v>0</v>
      </c>
      <c r="H73" s="277">
        <f t="shared" si="5"/>
        <v>0</v>
      </c>
      <c r="I73" s="277">
        <f t="shared" si="5"/>
        <v>0</v>
      </c>
    </row>
    <row r="74" spans="1:9" ht="15.75" hidden="1">
      <c r="A74" s="196" t="s">
        <v>355</v>
      </c>
      <c r="B74" s="154" t="s">
        <v>385</v>
      </c>
      <c r="C74" s="148">
        <v>156</v>
      </c>
      <c r="D74" s="149" t="s">
        <v>109</v>
      </c>
      <c r="E74" s="149" t="s">
        <v>172</v>
      </c>
      <c r="F74" s="148">
        <v>243</v>
      </c>
      <c r="G74" s="277">
        <v>0</v>
      </c>
      <c r="H74" s="281">
        <v>0</v>
      </c>
      <c r="I74" s="281">
        <v>0</v>
      </c>
    </row>
    <row r="75" spans="1:9" ht="46.5" customHeight="1">
      <c r="A75" s="196" t="s">
        <v>427</v>
      </c>
      <c r="B75" s="214" t="s">
        <v>430</v>
      </c>
      <c r="C75" s="148"/>
      <c r="D75" s="149"/>
      <c r="E75" s="149"/>
      <c r="F75" s="148"/>
      <c r="G75" s="277">
        <f aca="true" t="shared" si="6" ref="G75:I76">G76</f>
        <v>3351.7000000000003</v>
      </c>
      <c r="H75" s="277">
        <f t="shared" si="6"/>
        <v>2400</v>
      </c>
      <c r="I75" s="277">
        <f t="shared" si="6"/>
        <v>0</v>
      </c>
    </row>
    <row r="76" spans="1:9" ht="20.25" customHeight="1">
      <c r="A76" s="60" t="s">
        <v>201</v>
      </c>
      <c r="B76" s="214" t="s">
        <v>431</v>
      </c>
      <c r="C76" s="148"/>
      <c r="D76" s="149"/>
      <c r="E76" s="149"/>
      <c r="F76" s="148"/>
      <c r="G76" s="277">
        <f t="shared" si="6"/>
        <v>3351.7000000000003</v>
      </c>
      <c r="H76" s="277">
        <f t="shared" si="6"/>
        <v>2400</v>
      </c>
      <c r="I76" s="277">
        <f t="shared" si="6"/>
        <v>0</v>
      </c>
    </row>
    <row r="77" spans="1:9" ht="49.5" customHeight="1">
      <c r="A77" s="302" t="s">
        <v>578</v>
      </c>
      <c r="B77" s="214" t="s">
        <v>431</v>
      </c>
      <c r="C77" s="148">
        <v>156</v>
      </c>
      <c r="D77" s="149" t="s">
        <v>109</v>
      </c>
      <c r="E77" s="149" t="s">
        <v>172</v>
      </c>
      <c r="F77" s="148">
        <v>810</v>
      </c>
      <c r="G77" s="277">
        <f>2400-100+100+900-115.7+167.4</f>
        <v>3351.7000000000003</v>
      </c>
      <c r="H77" s="281">
        <v>2400</v>
      </c>
      <c r="I77" s="281">
        <v>0</v>
      </c>
    </row>
    <row r="78" spans="1:9" ht="27.75" customHeight="1">
      <c r="A78" s="196" t="s">
        <v>615</v>
      </c>
      <c r="B78" s="214" t="s">
        <v>613</v>
      </c>
      <c r="C78" s="148"/>
      <c r="D78" s="149"/>
      <c r="E78" s="149"/>
      <c r="F78" s="148"/>
      <c r="G78" s="277">
        <f aca="true" t="shared" si="7" ref="G78:I79">G79</f>
        <v>280.7999999999997</v>
      </c>
      <c r="H78" s="277">
        <f t="shared" si="7"/>
        <v>7063.1</v>
      </c>
      <c r="I78" s="277">
        <f t="shared" si="7"/>
        <v>0</v>
      </c>
    </row>
    <row r="79" spans="1:9" ht="18.75" customHeight="1">
      <c r="A79" s="60" t="s">
        <v>201</v>
      </c>
      <c r="B79" s="214" t="s">
        <v>614</v>
      </c>
      <c r="C79" s="148"/>
      <c r="D79" s="149"/>
      <c r="E79" s="149"/>
      <c r="F79" s="148"/>
      <c r="G79" s="277">
        <f t="shared" si="7"/>
        <v>280.7999999999997</v>
      </c>
      <c r="H79" s="277">
        <f t="shared" si="7"/>
        <v>7063.1</v>
      </c>
      <c r="I79" s="277">
        <f t="shared" si="7"/>
        <v>0</v>
      </c>
    </row>
    <row r="80" spans="1:9" ht="34.5" customHeight="1">
      <c r="A80" s="133" t="s">
        <v>575</v>
      </c>
      <c r="B80" s="214" t="s">
        <v>614</v>
      </c>
      <c r="C80" s="148">
        <v>156</v>
      </c>
      <c r="D80" s="149" t="s">
        <v>109</v>
      </c>
      <c r="E80" s="149" t="s">
        <v>172</v>
      </c>
      <c r="F80" s="148">
        <v>240</v>
      </c>
      <c r="G80" s="277">
        <f>7063.2-2750-485-1360-2187.4</f>
        <v>280.7999999999997</v>
      </c>
      <c r="H80" s="281">
        <v>7063.1</v>
      </c>
      <c r="I80" s="281">
        <v>0</v>
      </c>
    </row>
    <row r="81" spans="1:9" ht="33.75" customHeight="1">
      <c r="A81" s="196" t="s">
        <v>522</v>
      </c>
      <c r="B81" s="214" t="s">
        <v>561</v>
      </c>
      <c r="C81" s="148"/>
      <c r="D81" s="149"/>
      <c r="E81" s="149"/>
      <c r="F81" s="148"/>
      <c r="G81" s="277">
        <f>G82+G85</f>
        <v>41768.5</v>
      </c>
      <c r="H81" s="277">
        <f>H82+H85</f>
        <v>12372.3</v>
      </c>
      <c r="I81" s="277">
        <f>I82+I85</f>
        <v>0</v>
      </c>
    </row>
    <row r="82" spans="1:9" ht="31.5" customHeight="1">
      <c r="A82" s="60" t="s">
        <v>523</v>
      </c>
      <c r="B82" s="214" t="s">
        <v>562</v>
      </c>
      <c r="C82" s="148"/>
      <c r="D82" s="149"/>
      <c r="E82" s="149"/>
      <c r="F82" s="148"/>
      <c r="G82" s="277">
        <f>G84+G83</f>
        <v>41723.5</v>
      </c>
      <c r="H82" s="277">
        <f>H84+H83</f>
        <v>3624.7999999999993</v>
      </c>
      <c r="I82" s="277">
        <f>I84+I83</f>
        <v>0</v>
      </c>
    </row>
    <row r="83" spans="1:9" ht="31.5" customHeight="1">
      <c r="A83" s="133" t="s">
        <v>575</v>
      </c>
      <c r="B83" s="214" t="s">
        <v>562</v>
      </c>
      <c r="C83" s="148">
        <v>156</v>
      </c>
      <c r="D83" s="149" t="s">
        <v>109</v>
      </c>
      <c r="E83" s="149" t="s">
        <v>172</v>
      </c>
      <c r="F83" s="148">
        <v>240</v>
      </c>
      <c r="G83" s="277">
        <v>21</v>
      </c>
      <c r="H83" s="277">
        <v>0</v>
      </c>
      <c r="I83" s="277">
        <v>0</v>
      </c>
    </row>
    <row r="84" spans="1:9" ht="21.75" customHeight="1">
      <c r="A84" s="302" t="s">
        <v>580</v>
      </c>
      <c r="B84" s="214" t="s">
        <v>562</v>
      </c>
      <c r="C84" s="148">
        <v>156</v>
      </c>
      <c r="D84" s="149" t="s">
        <v>109</v>
      </c>
      <c r="E84" s="149" t="s">
        <v>172</v>
      </c>
      <c r="F84" s="148">
        <v>410</v>
      </c>
      <c r="G84" s="277">
        <f>41723.5-21</f>
        <v>41702.5</v>
      </c>
      <c r="H84" s="277">
        <f>12372.3-8747.5</f>
        <v>3624.7999999999993</v>
      </c>
      <c r="I84" s="281">
        <v>0</v>
      </c>
    </row>
    <row r="85" spans="1:9" ht="31.5" customHeight="1">
      <c r="A85" s="133" t="s">
        <v>643</v>
      </c>
      <c r="B85" s="214" t="s">
        <v>644</v>
      </c>
      <c r="C85" s="148"/>
      <c r="D85" s="149"/>
      <c r="E85" s="149"/>
      <c r="F85" s="148"/>
      <c r="G85" s="277">
        <f>G86</f>
        <v>45</v>
      </c>
      <c r="H85" s="277">
        <f>H86</f>
        <v>8747.5</v>
      </c>
      <c r="I85" s="277">
        <f>I86</f>
        <v>0</v>
      </c>
    </row>
    <row r="86" spans="1:9" ht="36.75" customHeight="1">
      <c r="A86" s="133" t="s">
        <v>575</v>
      </c>
      <c r="B86" s="214" t="s">
        <v>644</v>
      </c>
      <c r="C86" s="148">
        <v>156</v>
      </c>
      <c r="D86" s="149" t="s">
        <v>109</v>
      </c>
      <c r="E86" s="149" t="s">
        <v>172</v>
      </c>
      <c r="F86" s="148">
        <v>240</v>
      </c>
      <c r="G86" s="277">
        <f>100-55</f>
        <v>45</v>
      </c>
      <c r="H86" s="277">
        <v>8747.5</v>
      </c>
      <c r="I86" s="277">
        <v>0</v>
      </c>
    </row>
    <row r="87" spans="1:9" ht="61.5" customHeight="1">
      <c r="A87" s="197" t="s">
        <v>550</v>
      </c>
      <c r="B87" s="151" t="s">
        <v>453</v>
      </c>
      <c r="C87" s="194"/>
      <c r="D87" s="195"/>
      <c r="E87" s="195"/>
      <c r="F87" s="148"/>
      <c r="G87" s="276">
        <f>G88+G92</f>
        <v>1816.3</v>
      </c>
      <c r="H87" s="276">
        <f>H88+H92</f>
        <v>400</v>
      </c>
      <c r="I87" s="276">
        <f>I88+I92</f>
        <v>400</v>
      </c>
    </row>
    <row r="88" spans="1:9" ht="30" customHeight="1">
      <c r="A88" s="196" t="s">
        <v>458</v>
      </c>
      <c r="B88" s="154" t="s">
        <v>454</v>
      </c>
      <c r="C88" s="148"/>
      <c r="D88" s="149"/>
      <c r="E88" s="149"/>
      <c r="F88" s="148"/>
      <c r="G88" s="277">
        <f>G89</f>
        <v>60.8</v>
      </c>
      <c r="H88" s="277">
        <f>H89</f>
        <v>100</v>
      </c>
      <c r="I88" s="277">
        <f>I89</f>
        <v>100</v>
      </c>
    </row>
    <row r="89" spans="1:9" ht="15.75">
      <c r="A89" s="196" t="s">
        <v>373</v>
      </c>
      <c r="B89" s="154" t="s">
        <v>455</v>
      </c>
      <c r="C89" s="148"/>
      <c r="D89" s="149"/>
      <c r="E89" s="149"/>
      <c r="F89" s="148"/>
      <c r="G89" s="278">
        <f>G90+G91</f>
        <v>60.8</v>
      </c>
      <c r="H89" s="278">
        <f>H90+H91</f>
        <v>100</v>
      </c>
      <c r="I89" s="280">
        <f>I90+I91</f>
        <v>100</v>
      </c>
    </row>
    <row r="90" spans="1:9" ht="15.75" hidden="1">
      <c r="A90" s="60" t="s">
        <v>355</v>
      </c>
      <c r="B90" s="154" t="s">
        <v>455</v>
      </c>
      <c r="C90" s="148">
        <v>156</v>
      </c>
      <c r="D90" s="149" t="s">
        <v>173</v>
      </c>
      <c r="E90" s="149" t="s">
        <v>111</v>
      </c>
      <c r="F90" s="148">
        <v>244</v>
      </c>
      <c r="G90" s="278">
        <v>0</v>
      </c>
      <c r="H90" s="280">
        <v>0</v>
      </c>
      <c r="I90" s="280">
        <v>0</v>
      </c>
    </row>
    <row r="91" spans="1:9" ht="15.75">
      <c r="A91" s="297" t="s">
        <v>577</v>
      </c>
      <c r="B91" s="154" t="s">
        <v>455</v>
      </c>
      <c r="C91" s="148">
        <v>156</v>
      </c>
      <c r="D91" s="149" t="s">
        <v>173</v>
      </c>
      <c r="E91" s="149" t="s">
        <v>111</v>
      </c>
      <c r="F91" s="148">
        <v>610</v>
      </c>
      <c r="G91" s="287">
        <f>100-70+14.5+16.3</f>
        <v>60.8</v>
      </c>
      <c r="H91" s="280">
        <v>100</v>
      </c>
      <c r="I91" s="280">
        <v>100</v>
      </c>
    </row>
    <row r="92" spans="1:9" ht="31.5">
      <c r="A92" s="196" t="s">
        <v>519</v>
      </c>
      <c r="B92" s="154" t="s">
        <v>526</v>
      </c>
      <c r="C92" s="148"/>
      <c r="D92" s="149"/>
      <c r="E92" s="149"/>
      <c r="F92" s="286"/>
      <c r="G92" s="280">
        <f>G93+G95</f>
        <v>1755.5</v>
      </c>
      <c r="H92" s="280">
        <f>H93+H95</f>
        <v>300</v>
      </c>
      <c r="I92" s="280">
        <f>I93+I95</f>
        <v>300</v>
      </c>
    </row>
    <row r="93" spans="1:9" ht="15.75">
      <c r="A93" s="196" t="s">
        <v>373</v>
      </c>
      <c r="B93" s="154" t="s">
        <v>527</v>
      </c>
      <c r="C93" s="148"/>
      <c r="D93" s="149"/>
      <c r="E93" s="149"/>
      <c r="F93" s="286"/>
      <c r="G93" s="280">
        <f>G94</f>
        <v>355.5</v>
      </c>
      <c r="H93" s="280">
        <f>H94</f>
        <v>300</v>
      </c>
      <c r="I93" s="280">
        <f>I94</f>
        <v>300</v>
      </c>
    </row>
    <row r="94" spans="1:9" ht="30" customHeight="1">
      <c r="A94" s="133" t="s">
        <v>575</v>
      </c>
      <c r="B94" s="154" t="s">
        <v>527</v>
      </c>
      <c r="C94" s="148">
        <v>156</v>
      </c>
      <c r="D94" s="149" t="s">
        <v>173</v>
      </c>
      <c r="E94" s="149" t="s">
        <v>111</v>
      </c>
      <c r="F94" s="148">
        <v>240</v>
      </c>
      <c r="G94" s="280">
        <f>300+70-14.5</f>
        <v>355.5</v>
      </c>
      <c r="H94" s="280">
        <v>300</v>
      </c>
      <c r="I94" s="280">
        <v>300</v>
      </c>
    </row>
    <row r="95" spans="1:9" ht="17.25" customHeight="1">
      <c r="A95" s="60" t="s">
        <v>387</v>
      </c>
      <c r="B95" s="154" t="s">
        <v>599</v>
      </c>
      <c r="C95" s="148"/>
      <c r="D95" s="149"/>
      <c r="E95" s="149"/>
      <c r="F95" s="286"/>
      <c r="G95" s="280">
        <f>G96</f>
        <v>1400</v>
      </c>
      <c r="H95" s="280">
        <f>H96</f>
        <v>0</v>
      </c>
      <c r="I95" s="280">
        <f>I96</f>
        <v>0</v>
      </c>
    </row>
    <row r="96" spans="1:9" ht="30" customHeight="1">
      <c r="A96" s="133" t="s">
        <v>575</v>
      </c>
      <c r="B96" s="154" t="s">
        <v>599</v>
      </c>
      <c r="C96" s="148">
        <v>156</v>
      </c>
      <c r="D96" s="149" t="s">
        <v>173</v>
      </c>
      <c r="E96" s="149" t="s">
        <v>111</v>
      </c>
      <c r="F96" s="148">
        <v>240</v>
      </c>
      <c r="G96" s="280">
        <v>1400</v>
      </c>
      <c r="H96" s="280">
        <v>0</v>
      </c>
      <c r="I96" s="280">
        <v>0</v>
      </c>
    </row>
    <row r="97" spans="1:9" s="157" customFormat="1" ht="18.75" customHeight="1">
      <c r="A97" s="155" t="s">
        <v>314</v>
      </c>
      <c r="B97" s="154"/>
      <c r="C97" s="217"/>
      <c r="D97" s="217"/>
      <c r="E97" s="217"/>
      <c r="F97" s="156"/>
      <c r="G97" s="288">
        <f>G22+G48+G71+G87</f>
        <v>140569.59999999998</v>
      </c>
      <c r="H97" s="288">
        <f>H22+H48+H71+H87</f>
        <v>28469.2</v>
      </c>
      <c r="I97" s="288">
        <f>I22+I48+I71+I87</f>
        <v>6776.8</v>
      </c>
    </row>
    <row r="98" spans="1:9" s="161" customFormat="1" ht="18.75" customHeight="1">
      <c r="A98" s="142"/>
      <c r="B98" s="158"/>
      <c r="C98" s="158"/>
      <c r="D98" s="158"/>
      <c r="E98" s="158"/>
      <c r="F98" s="158"/>
      <c r="G98" s="159" t="s">
        <v>115</v>
      </c>
      <c r="H98" s="160"/>
      <c r="I98" s="160" t="s">
        <v>564</v>
      </c>
    </row>
    <row r="99" spans="1:9" s="161" customFormat="1" ht="18.75" customHeight="1">
      <c r="A99" s="142"/>
      <c r="B99" s="158"/>
      <c r="C99" s="158"/>
      <c r="D99" s="158"/>
      <c r="E99" s="158"/>
      <c r="F99" s="158"/>
      <c r="G99" s="143"/>
      <c r="H99" s="160"/>
      <c r="I99" s="160"/>
    </row>
    <row r="100" spans="1:9" s="161" customFormat="1" ht="18.75" customHeight="1">
      <c r="A100" s="142"/>
      <c r="B100" s="158"/>
      <c r="C100" s="158"/>
      <c r="D100" s="158"/>
      <c r="E100" s="158"/>
      <c r="F100" s="158"/>
      <c r="G100" s="143"/>
      <c r="H100" s="160"/>
      <c r="I100" s="160"/>
    </row>
    <row r="101" spans="1:9" s="161" customFormat="1" ht="18.75" customHeight="1">
      <c r="A101" s="142"/>
      <c r="B101" s="158"/>
      <c r="C101" s="158"/>
      <c r="D101" s="158"/>
      <c r="E101" s="158"/>
      <c r="F101" s="158"/>
      <c r="G101" s="143"/>
      <c r="H101" s="160"/>
      <c r="I101" s="160"/>
    </row>
    <row r="102" spans="1:9" s="161" customFormat="1" ht="18.75" customHeight="1">
      <c r="A102" s="142"/>
      <c r="B102" s="158"/>
      <c r="C102" s="158"/>
      <c r="D102" s="158"/>
      <c r="E102" s="158"/>
      <c r="F102" s="158"/>
      <c r="G102" s="143"/>
      <c r="H102" s="160"/>
      <c r="I102" s="160"/>
    </row>
    <row r="103" spans="1:9" s="161" customFormat="1" ht="18.75" customHeight="1">
      <c r="A103" s="142"/>
      <c r="B103" s="158"/>
      <c r="C103" s="158"/>
      <c r="D103" s="158"/>
      <c r="E103" s="158"/>
      <c r="F103" s="158"/>
      <c r="G103" s="143"/>
      <c r="H103" s="160"/>
      <c r="I103" s="160"/>
    </row>
    <row r="104" spans="1:9" s="161" customFormat="1" ht="18.75" customHeight="1">
      <c r="A104" s="142"/>
      <c r="B104" s="158"/>
      <c r="C104" s="158"/>
      <c r="D104" s="158"/>
      <c r="E104" s="158"/>
      <c r="F104" s="158"/>
      <c r="G104" s="143"/>
      <c r="H104" s="160"/>
      <c r="I104" s="160"/>
    </row>
    <row r="105" spans="1:9" s="161" customFormat="1" ht="37.5" customHeight="1">
      <c r="A105" s="142"/>
      <c r="B105" s="158"/>
      <c r="C105" s="158"/>
      <c r="D105" s="158"/>
      <c r="E105" s="158"/>
      <c r="F105" s="158"/>
      <c r="G105" s="143"/>
      <c r="H105" s="160"/>
      <c r="I105" s="160"/>
    </row>
    <row r="106" spans="1:9" s="161" customFormat="1" ht="18.75" customHeight="1">
      <c r="A106" s="142"/>
      <c r="B106" s="158"/>
      <c r="C106" s="158"/>
      <c r="D106" s="158"/>
      <c r="E106" s="158"/>
      <c r="F106" s="158"/>
      <c r="G106" s="143"/>
      <c r="H106" s="160"/>
      <c r="I106" s="160"/>
    </row>
    <row r="107" spans="1:9" s="161" customFormat="1" ht="18.75" customHeight="1">
      <c r="A107" s="142"/>
      <c r="B107" s="158"/>
      <c r="C107" s="158"/>
      <c r="D107" s="158"/>
      <c r="E107" s="158"/>
      <c r="F107" s="158"/>
      <c r="G107" s="143"/>
      <c r="H107" s="160"/>
      <c r="I107" s="160"/>
    </row>
    <row r="108" spans="1:9" s="161" customFormat="1" ht="18.75" customHeight="1">
      <c r="A108" s="142"/>
      <c r="B108" s="158"/>
      <c r="C108" s="158"/>
      <c r="D108" s="158"/>
      <c r="E108" s="158"/>
      <c r="F108" s="158"/>
      <c r="G108" s="143"/>
      <c r="H108" s="160"/>
      <c r="I108" s="160"/>
    </row>
    <row r="109" spans="1:9" s="161" customFormat="1" ht="18.75" customHeight="1">
      <c r="A109" s="142"/>
      <c r="B109" s="158"/>
      <c r="C109" s="158"/>
      <c r="D109" s="158"/>
      <c r="E109" s="158"/>
      <c r="F109" s="158"/>
      <c r="G109" s="143"/>
      <c r="H109" s="160"/>
      <c r="I109" s="160"/>
    </row>
    <row r="110" spans="1:9" s="161" customFormat="1" ht="18.75" customHeight="1">
      <c r="A110" s="142"/>
      <c r="B110" s="158"/>
      <c r="C110" s="158"/>
      <c r="D110" s="158"/>
      <c r="E110" s="158"/>
      <c r="F110" s="158"/>
      <c r="G110" s="143"/>
      <c r="H110" s="160"/>
      <c r="I110" s="160"/>
    </row>
    <row r="111" spans="1:9" s="163" customFormat="1" ht="15.75">
      <c r="A111" s="142"/>
      <c r="B111" s="158"/>
      <c r="C111" s="158"/>
      <c r="D111" s="158"/>
      <c r="E111" s="158"/>
      <c r="F111" s="158"/>
      <c r="G111" s="143"/>
      <c r="H111" s="162"/>
      <c r="I111" s="162"/>
    </row>
    <row r="114" ht="24.75" customHeight="1"/>
    <row r="115" ht="32.25" customHeight="1"/>
    <row r="116" ht="28.5" customHeight="1"/>
    <row r="117" ht="25.5" customHeight="1"/>
    <row r="118" spans="1:9" s="163" customFormat="1" ht="27" customHeight="1">
      <c r="A118" s="142"/>
      <c r="B118" s="158"/>
      <c r="C118" s="158"/>
      <c r="D118" s="158"/>
      <c r="E118" s="158"/>
      <c r="F118" s="158"/>
      <c r="G118" s="143"/>
      <c r="H118" s="162"/>
      <c r="I118" s="162"/>
    </row>
    <row r="119" spans="1:9" s="163" customFormat="1" ht="15.75">
      <c r="A119" s="142"/>
      <c r="B119" s="158"/>
      <c r="C119" s="158"/>
      <c r="D119" s="158"/>
      <c r="E119" s="158"/>
      <c r="F119" s="158"/>
      <c r="G119" s="143"/>
      <c r="H119" s="162"/>
      <c r="I119" s="162"/>
    </row>
    <row r="120" spans="1:9" s="163" customFormat="1" ht="36" customHeight="1">
      <c r="A120" s="142"/>
      <c r="B120" s="158"/>
      <c r="C120" s="158"/>
      <c r="D120" s="158"/>
      <c r="E120" s="158"/>
      <c r="F120" s="158"/>
      <c r="G120" s="143"/>
      <c r="H120" s="162"/>
      <c r="I120" s="162"/>
    </row>
    <row r="121" spans="1:9" s="165" customFormat="1" ht="27" customHeight="1">
      <c r="A121" s="142"/>
      <c r="B121" s="158"/>
      <c r="C121" s="158"/>
      <c r="D121" s="158"/>
      <c r="E121" s="158"/>
      <c r="F121" s="158"/>
      <c r="G121" s="143"/>
      <c r="H121" s="164"/>
      <c r="I121" s="164"/>
    </row>
    <row r="122" spans="1:9" s="161" customFormat="1" ht="24" customHeight="1">
      <c r="A122" s="142"/>
      <c r="B122" s="158"/>
      <c r="C122" s="158"/>
      <c r="D122" s="158"/>
      <c r="E122" s="158"/>
      <c r="F122" s="158"/>
      <c r="G122" s="143"/>
      <c r="H122" s="160"/>
      <c r="I122" s="160"/>
    </row>
    <row r="123" spans="1:9" s="161" customFormat="1" ht="25.5" customHeight="1">
      <c r="A123" s="142"/>
      <c r="B123" s="158"/>
      <c r="C123" s="158"/>
      <c r="D123" s="158"/>
      <c r="E123" s="158"/>
      <c r="F123" s="158"/>
      <c r="G123" s="143"/>
      <c r="H123" s="160"/>
      <c r="I123" s="160"/>
    </row>
    <row r="124" spans="1:9" s="161" customFormat="1" ht="21.75" customHeight="1">
      <c r="A124" s="142"/>
      <c r="B124" s="158"/>
      <c r="C124" s="158"/>
      <c r="D124" s="158"/>
      <c r="E124" s="158"/>
      <c r="F124" s="158"/>
      <c r="G124" s="143"/>
      <c r="H124" s="160"/>
      <c r="I124" s="160"/>
    </row>
    <row r="125" spans="1:9" s="161" customFormat="1" ht="31.5" customHeight="1">
      <c r="A125" s="142"/>
      <c r="B125" s="158"/>
      <c r="C125" s="158"/>
      <c r="D125" s="158"/>
      <c r="E125" s="158"/>
      <c r="F125" s="158"/>
      <c r="G125" s="143"/>
      <c r="H125" s="160"/>
      <c r="I125" s="160"/>
    </row>
    <row r="126" spans="1:9" s="161" customFormat="1" ht="21.75" customHeight="1">
      <c r="A126" s="142"/>
      <c r="B126" s="158"/>
      <c r="C126" s="158"/>
      <c r="D126" s="158"/>
      <c r="E126" s="158"/>
      <c r="F126" s="158"/>
      <c r="G126" s="143"/>
      <c r="H126" s="160"/>
      <c r="I126" s="160"/>
    </row>
    <row r="127" spans="1:9" s="167" customFormat="1" ht="29.25" customHeight="1">
      <c r="A127" s="142"/>
      <c r="B127" s="158"/>
      <c r="C127" s="158"/>
      <c r="D127" s="158"/>
      <c r="E127" s="158"/>
      <c r="F127" s="158"/>
      <c r="G127" s="143"/>
      <c r="H127" s="166"/>
      <c r="I127" s="166"/>
    </row>
    <row r="129" ht="33.75" customHeight="1"/>
    <row r="130" ht="78" customHeight="1"/>
    <row r="131" ht="22.5" customHeight="1"/>
    <row r="132" ht="60.75" customHeight="1"/>
    <row r="133" ht="24" customHeight="1"/>
    <row r="137" ht="24" customHeight="1"/>
    <row r="138" ht="42" customHeight="1"/>
    <row r="139" ht="80.25" customHeight="1"/>
    <row r="140" ht="25.5" customHeight="1"/>
    <row r="141" ht="40.5" customHeight="1"/>
    <row r="142" ht="78" customHeight="1"/>
    <row r="143" ht="32.25" customHeight="1"/>
    <row r="144" ht="39" customHeight="1"/>
    <row r="145" ht="32.25" customHeight="1"/>
    <row r="146" ht="59.25" customHeight="1"/>
    <row r="147" ht="24" customHeight="1"/>
    <row r="148" ht="24" customHeight="1"/>
    <row r="149" ht="36.75" customHeight="1"/>
    <row r="150" ht="56.25" customHeight="1"/>
    <row r="151" ht="24" customHeight="1"/>
    <row r="154" ht="43.5" customHeight="1"/>
    <row r="156" ht="39.75" customHeight="1"/>
    <row r="157" ht="40.5" customHeight="1"/>
    <row r="158" ht="41.25" customHeight="1"/>
    <row r="159" ht="41.25" customHeight="1"/>
    <row r="161" ht="39.75" customHeight="1"/>
    <row r="162" ht="39.75" customHeight="1"/>
    <row r="163" ht="24.75" customHeight="1"/>
    <row r="164" ht="37.5" customHeight="1"/>
    <row r="165" ht="39.75" customHeight="1"/>
    <row r="166" ht="42" customHeight="1"/>
    <row r="167" ht="23.25" customHeight="1"/>
    <row r="168" ht="58.5" customHeight="1"/>
    <row r="169" ht="38.25" customHeight="1"/>
    <row r="170" ht="75" customHeight="1"/>
    <row r="171" ht="27.75" customHeight="1"/>
    <row r="172" ht="40.5" customHeight="1"/>
    <row r="173" ht="62.25" customHeight="1"/>
    <row r="174" ht="41.25" customHeight="1"/>
    <row r="175" ht="40.5" customHeight="1"/>
    <row r="176" ht="75.75" customHeight="1"/>
    <row r="177" ht="22.5" customHeight="1"/>
    <row r="178" ht="25.5" customHeight="1"/>
    <row r="179" ht="37.5" customHeight="1"/>
    <row r="180" spans="1:9" s="167" customFormat="1" ht="60.75" customHeight="1">
      <c r="A180" s="142"/>
      <c r="B180" s="158"/>
      <c r="C180" s="158"/>
      <c r="D180" s="158"/>
      <c r="E180" s="158"/>
      <c r="F180" s="158"/>
      <c r="G180" s="143"/>
      <c r="H180" s="166"/>
      <c r="I180" s="166"/>
    </row>
    <row r="181" spans="1:9" s="161" customFormat="1" ht="24" customHeight="1">
      <c r="A181" s="142"/>
      <c r="B181" s="158"/>
      <c r="C181" s="158"/>
      <c r="D181" s="158"/>
      <c r="E181" s="158"/>
      <c r="F181" s="158"/>
      <c r="G181" s="143"/>
      <c r="H181" s="160"/>
      <c r="I181" s="160"/>
    </row>
    <row r="182" spans="1:9" s="161" customFormat="1" ht="79.5" customHeight="1">
      <c r="A182" s="142"/>
      <c r="B182" s="158"/>
      <c r="C182" s="158"/>
      <c r="D182" s="158"/>
      <c r="E182" s="158"/>
      <c r="F182" s="158"/>
      <c r="G182" s="143"/>
      <c r="H182" s="160"/>
      <c r="I182" s="160"/>
    </row>
    <row r="183" spans="1:9" s="161" customFormat="1" ht="41.25" customHeight="1">
      <c r="A183" s="142"/>
      <c r="B183" s="158"/>
      <c r="C183" s="158"/>
      <c r="D183" s="158"/>
      <c r="E183" s="158"/>
      <c r="F183" s="158"/>
      <c r="G183" s="143"/>
      <c r="H183" s="160"/>
      <c r="I183" s="160"/>
    </row>
    <row r="184" spans="1:9" s="161" customFormat="1" ht="37.5" customHeight="1">
      <c r="A184" s="142"/>
      <c r="B184" s="158"/>
      <c r="C184" s="158"/>
      <c r="D184" s="158"/>
      <c r="E184" s="158"/>
      <c r="F184" s="158"/>
      <c r="G184" s="143"/>
      <c r="H184" s="160"/>
      <c r="I184" s="160"/>
    </row>
    <row r="185" spans="1:9" s="161" customFormat="1" ht="22.5" customHeight="1">
      <c r="A185" s="142"/>
      <c r="B185" s="158"/>
      <c r="C185" s="158"/>
      <c r="D185" s="158"/>
      <c r="E185" s="158"/>
      <c r="F185" s="158"/>
      <c r="G185" s="143"/>
      <c r="H185" s="160"/>
      <c r="I185" s="160"/>
    </row>
    <row r="186" spans="1:9" s="161" customFormat="1" ht="24.75" customHeight="1">
      <c r="A186" s="142"/>
      <c r="B186" s="158"/>
      <c r="C186" s="158"/>
      <c r="D186" s="158"/>
      <c r="E186" s="158"/>
      <c r="F186" s="158"/>
      <c r="G186" s="143"/>
      <c r="H186" s="160"/>
      <c r="I186" s="160"/>
    </row>
    <row r="187" spans="1:9" s="161" customFormat="1" ht="21.75" customHeight="1">
      <c r="A187" s="142"/>
      <c r="B187" s="158"/>
      <c r="C187" s="158"/>
      <c r="D187" s="158"/>
      <c r="E187" s="158"/>
      <c r="F187" s="158"/>
      <c r="G187" s="143"/>
      <c r="H187" s="160"/>
      <c r="I187" s="160"/>
    </row>
    <row r="188" spans="1:9" s="161" customFormat="1" ht="44.25" customHeight="1">
      <c r="A188" s="142"/>
      <c r="B188" s="158"/>
      <c r="C188" s="158"/>
      <c r="D188" s="158"/>
      <c r="E188" s="158"/>
      <c r="F188" s="158"/>
      <c r="G188" s="143"/>
      <c r="H188" s="160"/>
      <c r="I188" s="160"/>
    </row>
    <row r="189" spans="1:9" s="161" customFormat="1" ht="44.25" customHeight="1">
      <c r="A189" s="142"/>
      <c r="B189" s="158"/>
      <c r="C189" s="158"/>
      <c r="D189" s="158"/>
      <c r="E189" s="158"/>
      <c r="F189" s="158"/>
      <c r="G189" s="143"/>
      <c r="H189" s="160"/>
      <c r="I189" s="160"/>
    </row>
    <row r="190" spans="1:9" s="161" customFormat="1" ht="40.5" customHeight="1">
      <c r="A190" s="142"/>
      <c r="B190" s="158"/>
      <c r="C190" s="158"/>
      <c r="D190" s="158"/>
      <c r="E190" s="158"/>
      <c r="F190" s="158"/>
      <c r="G190" s="143"/>
      <c r="H190" s="160"/>
      <c r="I190" s="160"/>
    </row>
    <row r="191" spans="1:9" s="161" customFormat="1" ht="41.25" customHeight="1">
      <c r="A191" s="142"/>
      <c r="B191" s="158"/>
      <c r="C191" s="158"/>
      <c r="D191" s="158"/>
      <c r="E191" s="158"/>
      <c r="F191" s="158"/>
      <c r="G191" s="143"/>
      <c r="H191" s="160"/>
      <c r="I191" s="160"/>
    </row>
    <row r="192" spans="1:9" s="161" customFormat="1" ht="41.25" customHeight="1">
      <c r="A192" s="142"/>
      <c r="B192" s="158"/>
      <c r="C192" s="158"/>
      <c r="D192" s="158"/>
      <c r="E192" s="158"/>
      <c r="F192" s="158"/>
      <c r="G192" s="143"/>
      <c r="H192" s="160"/>
      <c r="I192" s="160"/>
    </row>
    <row r="193" spans="1:9" s="161" customFormat="1" ht="41.25" customHeight="1">
      <c r="A193" s="142"/>
      <c r="B193" s="158"/>
      <c r="C193" s="158"/>
      <c r="D193" s="158"/>
      <c r="E193" s="158"/>
      <c r="F193" s="158"/>
      <c r="G193" s="143"/>
      <c r="H193" s="160"/>
      <c r="I193" s="160"/>
    </row>
    <row r="194" spans="1:9" s="161" customFormat="1" ht="40.5" customHeight="1">
      <c r="A194" s="142"/>
      <c r="B194" s="158"/>
      <c r="C194" s="158"/>
      <c r="D194" s="158"/>
      <c r="E194" s="158"/>
      <c r="F194" s="158"/>
      <c r="G194" s="143"/>
      <c r="H194" s="160"/>
      <c r="I194" s="160"/>
    </row>
    <row r="195" spans="1:9" s="161" customFormat="1" ht="40.5" customHeight="1">
      <c r="A195" s="142"/>
      <c r="B195" s="158"/>
      <c r="C195" s="158"/>
      <c r="D195" s="158"/>
      <c r="E195" s="158"/>
      <c r="F195" s="158"/>
      <c r="G195" s="143"/>
      <c r="H195" s="160"/>
      <c r="I195" s="160"/>
    </row>
    <row r="196" spans="1:9" s="161" customFormat="1" ht="77.25" customHeight="1">
      <c r="A196" s="142"/>
      <c r="B196" s="158"/>
      <c r="C196" s="158"/>
      <c r="D196" s="158"/>
      <c r="E196" s="158"/>
      <c r="F196" s="158"/>
      <c r="G196" s="143"/>
      <c r="H196" s="160"/>
      <c r="I196" s="160"/>
    </row>
    <row r="197" spans="1:9" s="161" customFormat="1" ht="60" customHeight="1">
      <c r="A197" s="142"/>
      <c r="B197" s="158"/>
      <c r="C197" s="158"/>
      <c r="D197" s="158"/>
      <c r="E197" s="158"/>
      <c r="F197" s="158"/>
      <c r="G197" s="143"/>
      <c r="H197" s="160"/>
      <c r="I197" s="160"/>
    </row>
    <row r="198" spans="1:9" s="161" customFormat="1" ht="22.5" customHeight="1">
      <c r="A198" s="142"/>
      <c r="B198" s="158"/>
      <c r="C198" s="158"/>
      <c r="D198" s="158"/>
      <c r="E198" s="158"/>
      <c r="F198" s="158"/>
      <c r="G198" s="143"/>
      <c r="H198" s="160"/>
      <c r="I198" s="160"/>
    </row>
    <row r="199" spans="1:9" s="161" customFormat="1" ht="60" customHeight="1">
      <c r="A199" s="142"/>
      <c r="B199" s="158"/>
      <c r="C199" s="158"/>
      <c r="D199" s="158"/>
      <c r="E199" s="158"/>
      <c r="F199" s="158"/>
      <c r="G199" s="143"/>
      <c r="H199" s="160"/>
      <c r="I199" s="160"/>
    </row>
    <row r="200" spans="1:9" s="161" customFormat="1" ht="21.75" customHeight="1">
      <c r="A200" s="142"/>
      <c r="B200" s="158"/>
      <c r="C200" s="158"/>
      <c r="D200" s="158"/>
      <c r="E200" s="158"/>
      <c r="F200" s="158"/>
      <c r="G200" s="143"/>
      <c r="H200" s="160"/>
      <c r="I200" s="160"/>
    </row>
    <row r="201" spans="1:9" s="163" customFormat="1" ht="60.75" customHeight="1">
      <c r="A201" s="142"/>
      <c r="B201" s="158"/>
      <c r="C201" s="158"/>
      <c r="D201" s="158"/>
      <c r="E201" s="158"/>
      <c r="F201" s="158"/>
      <c r="G201" s="143"/>
      <c r="H201" s="162"/>
      <c r="I201" s="162"/>
    </row>
    <row r="203" ht="22.5" customHeight="1"/>
    <row r="204" ht="66.75" customHeight="1"/>
    <row r="205" ht="22.5" customHeight="1"/>
    <row r="206" ht="57" customHeight="1"/>
    <row r="207" ht="22.5" customHeight="1"/>
    <row r="208" spans="1:9" s="163" customFormat="1" ht="60" customHeight="1">
      <c r="A208" s="142"/>
      <c r="B208" s="158"/>
      <c r="C208" s="158"/>
      <c r="D208" s="158"/>
      <c r="E208" s="158"/>
      <c r="F208" s="158"/>
      <c r="G208" s="143"/>
      <c r="H208" s="162"/>
      <c r="I208" s="162"/>
    </row>
    <row r="211" ht="20.25" customHeight="1"/>
    <row r="212" ht="20.25" customHeight="1"/>
    <row r="213" ht="20.25" customHeight="1"/>
    <row r="218" ht="42.75" customHeight="1"/>
    <row r="220" ht="51" customHeight="1"/>
    <row r="222" spans="1:9" s="163" customFormat="1" ht="62.25" customHeight="1">
      <c r="A222" s="142"/>
      <c r="B222" s="158"/>
      <c r="C222" s="158"/>
      <c r="D222" s="158"/>
      <c r="E222" s="158"/>
      <c r="F222" s="158"/>
      <c r="G222" s="143"/>
      <c r="H222" s="162"/>
      <c r="I222" s="162"/>
    </row>
    <row r="223" ht="23.25" customHeight="1"/>
    <row r="224" ht="38.25" customHeight="1"/>
    <row r="226" spans="1:9" s="163" customFormat="1" ht="60.75" customHeight="1">
      <c r="A226" s="142"/>
      <c r="B226" s="158"/>
      <c r="C226" s="158"/>
      <c r="D226" s="158"/>
      <c r="E226" s="158"/>
      <c r="F226" s="158"/>
      <c r="G226" s="143"/>
      <c r="H226" s="162"/>
      <c r="I226" s="162"/>
    </row>
    <row r="227" ht="23.25" customHeight="1"/>
    <row r="229" spans="1:9" s="167" customFormat="1" ht="15.75">
      <c r="A229" s="142"/>
      <c r="B229" s="158"/>
      <c r="C229" s="158"/>
      <c r="D229" s="158"/>
      <c r="E229" s="158"/>
      <c r="F229" s="158"/>
      <c r="G229" s="143"/>
      <c r="H229" s="166"/>
      <c r="I229" s="166"/>
    </row>
    <row r="230" spans="1:9" s="161" customFormat="1" ht="22.5" customHeight="1">
      <c r="A230" s="142"/>
      <c r="B230" s="158"/>
      <c r="C230" s="158"/>
      <c r="D230" s="158"/>
      <c r="E230" s="158"/>
      <c r="F230" s="158"/>
      <c r="G230" s="143"/>
      <c r="H230" s="160"/>
      <c r="I230" s="160"/>
    </row>
    <row r="231" spans="1:9" s="161" customFormat="1" ht="60.75" customHeight="1">
      <c r="A231" s="142"/>
      <c r="B231" s="158"/>
      <c r="C231" s="158"/>
      <c r="D231" s="158"/>
      <c r="E231" s="158"/>
      <c r="F231" s="158"/>
      <c r="G231" s="143"/>
      <c r="H231" s="160"/>
      <c r="I231" s="160"/>
    </row>
    <row r="232" spans="1:9" s="161" customFormat="1" ht="77.25" customHeight="1">
      <c r="A232" s="142"/>
      <c r="B232" s="158"/>
      <c r="C232" s="158"/>
      <c r="D232" s="158"/>
      <c r="E232" s="158"/>
      <c r="F232" s="158"/>
      <c r="G232" s="143"/>
      <c r="H232" s="160"/>
      <c r="I232" s="160"/>
    </row>
    <row r="233" spans="1:9" s="161" customFormat="1" ht="23.25" customHeight="1">
      <c r="A233" s="142"/>
      <c r="B233" s="158"/>
      <c r="C233" s="158"/>
      <c r="D233" s="158"/>
      <c r="E233" s="158"/>
      <c r="F233" s="158"/>
      <c r="G233" s="143"/>
      <c r="H233" s="160"/>
      <c r="I233" s="160"/>
    </row>
    <row r="234" spans="1:9" s="161" customFormat="1" ht="57.75" customHeight="1">
      <c r="A234" s="142"/>
      <c r="B234" s="158"/>
      <c r="C234" s="158"/>
      <c r="D234" s="158"/>
      <c r="E234" s="158"/>
      <c r="F234" s="158"/>
      <c r="G234" s="143"/>
      <c r="H234" s="160"/>
      <c r="I234" s="160"/>
    </row>
    <row r="235" spans="1:9" s="161" customFormat="1" ht="77.25" customHeight="1">
      <c r="A235" s="142"/>
      <c r="B235" s="158"/>
      <c r="C235" s="158"/>
      <c r="D235" s="158"/>
      <c r="E235" s="158"/>
      <c r="F235" s="158"/>
      <c r="G235" s="143"/>
      <c r="H235" s="160"/>
      <c r="I235" s="160"/>
    </row>
    <row r="236" spans="1:9" s="161" customFormat="1" ht="25.5" customHeight="1">
      <c r="A236" s="142"/>
      <c r="B236" s="158"/>
      <c r="C236" s="158"/>
      <c r="D236" s="158"/>
      <c r="E236" s="158"/>
      <c r="F236" s="158"/>
      <c r="G236" s="143"/>
      <c r="H236" s="160"/>
      <c r="I236" s="160"/>
    </row>
    <row r="237" spans="1:9" s="161" customFormat="1" ht="56.25" customHeight="1">
      <c r="A237" s="142"/>
      <c r="B237" s="158"/>
      <c r="C237" s="158"/>
      <c r="D237" s="158"/>
      <c r="E237" s="158"/>
      <c r="F237" s="158"/>
      <c r="G237" s="143"/>
      <c r="H237" s="160"/>
      <c r="I237" s="160"/>
    </row>
    <row r="238" spans="1:9" s="161" customFormat="1" ht="60" customHeight="1">
      <c r="A238" s="142"/>
      <c r="B238" s="158"/>
      <c r="C238" s="158"/>
      <c r="D238" s="158"/>
      <c r="E238" s="158"/>
      <c r="F238" s="158"/>
      <c r="G238" s="143"/>
      <c r="H238" s="160"/>
      <c r="I238" s="160"/>
    </row>
    <row r="239" spans="1:9" s="161" customFormat="1" ht="75.75" customHeight="1">
      <c r="A239" s="142"/>
      <c r="B239" s="158"/>
      <c r="C239" s="158"/>
      <c r="D239" s="158"/>
      <c r="E239" s="158"/>
      <c r="F239" s="158"/>
      <c r="G239" s="143"/>
      <c r="H239" s="160"/>
      <c r="I239" s="160"/>
    </row>
    <row r="240" spans="1:9" s="161" customFormat="1" ht="23.25" customHeight="1">
      <c r="A240" s="142"/>
      <c r="B240" s="158"/>
      <c r="C240" s="158"/>
      <c r="D240" s="158"/>
      <c r="E240" s="158"/>
      <c r="F240" s="158"/>
      <c r="G240" s="143"/>
      <c r="H240" s="160"/>
      <c r="I240" s="160"/>
    </row>
    <row r="241" spans="1:9" s="161" customFormat="1" ht="40.5" customHeight="1">
      <c r="A241" s="142"/>
      <c r="B241" s="158"/>
      <c r="C241" s="158"/>
      <c r="D241" s="158"/>
      <c r="E241" s="158"/>
      <c r="F241" s="158"/>
      <c r="G241" s="143"/>
      <c r="H241" s="160"/>
      <c r="I241" s="160"/>
    </row>
    <row r="242" spans="1:9" s="161" customFormat="1" ht="75.75" customHeight="1">
      <c r="A242" s="142"/>
      <c r="B242" s="158"/>
      <c r="C242" s="158"/>
      <c r="D242" s="158"/>
      <c r="E242" s="158"/>
      <c r="F242" s="158"/>
      <c r="G242" s="143"/>
      <c r="H242" s="160"/>
      <c r="I242" s="160"/>
    </row>
    <row r="243" spans="1:9" s="161" customFormat="1" ht="23.25" customHeight="1">
      <c r="A243" s="142"/>
      <c r="B243" s="158"/>
      <c r="C243" s="158"/>
      <c r="D243" s="158"/>
      <c r="E243" s="158"/>
      <c r="F243" s="158"/>
      <c r="G243" s="143"/>
      <c r="H243" s="160"/>
      <c r="I243" s="160"/>
    </row>
    <row r="244" spans="1:9" s="161" customFormat="1" ht="55.5" customHeight="1">
      <c r="A244" s="142"/>
      <c r="B244" s="158"/>
      <c r="C244" s="158"/>
      <c r="D244" s="158"/>
      <c r="E244" s="158"/>
      <c r="F244" s="158"/>
      <c r="G244" s="143"/>
      <c r="H244" s="160"/>
      <c r="I244" s="160"/>
    </row>
    <row r="245" spans="1:9" s="161" customFormat="1" ht="26.25" customHeight="1">
      <c r="A245" s="142"/>
      <c r="B245" s="158"/>
      <c r="C245" s="158"/>
      <c r="D245" s="158"/>
      <c r="E245" s="158"/>
      <c r="F245" s="158"/>
      <c r="G245" s="143"/>
      <c r="H245" s="160"/>
      <c r="I245" s="160"/>
    </row>
    <row r="246" spans="1:9" s="161" customFormat="1" ht="76.5" customHeight="1">
      <c r="A246" s="142"/>
      <c r="B246" s="158"/>
      <c r="C246" s="158"/>
      <c r="D246" s="158"/>
      <c r="E246" s="158"/>
      <c r="F246" s="158"/>
      <c r="G246" s="143"/>
      <c r="H246" s="160"/>
      <c r="I246" s="160"/>
    </row>
    <row r="247" spans="1:9" s="161" customFormat="1" ht="21.75" customHeight="1">
      <c r="A247" s="142"/>
      <c r="B247" s="158"/>
      <c r="C247" s="158"/>
      <c r="D247" s="158"/>
      <c r="E247" s="158"/>
      <c r="F247" s="158"/>
      <c r="G247" s="143"/>
      <c r="H247" s="160"/>
      <c r="I247" s="160"/>
    </row>
    <row r="248" spans="1:9" s="163" customFormat="1" ht="60.75" customHeight="1">
      <c r="A248" s="142"/>
      <c r="B248" s="158"/>
      <c r="C248" s="158"/>
      <c r="D248" s="158"/>
      <c r="E248" s="158"/>
      <c r="F248" s="158"/>
      <c r="G248" s="143"/>
      <c r="H248" s="162"/>
      <c r="I248" s="162"/>
    </row>
    <row r="250" ht="41.25" customHeight="1"/>
    <row r="251" ht="41.25" customHeight="1"/>
    <row r="252" ht="41.25" customHeight="1"/>
    <row r="253" ht="41.25" customHeight="1"/>
    <row r="254" spans="1:9" s="167" customFormat="1" ht="41.25" customHeight="1">
      <c r="A254" s="142"/>
      <c r="B254" s="158"/>
      <c r="C254" s="158"/>
      <c r="D254" s="158"/>
      <c r="E254" s="158"/>
      <c r="F254" s="158"/>
      <c r="G254" s="143"/>
      <c r="H254" s="166"/>
      <c r="I254" s="166"/>
    </row>
    <row r="255" spans="1:9" s="161" customFormat="1" ht="22.5" customHeight="1">
      <c r="A255" s="142"/>
      <c r="B255" s="158"/>
      <c r="C255" s="158"/>
      <c r="D255" s="158"/>
      <c r="E255" s="158"/>
      <c r="F255" s="158"/>
      <c r="G255" s="143"/>
      <c r="H255" s="160"/>
      <c r="I255" s="160"/>
    </row>
    <row r="256" spans="1:9" s="161" customFormat="1" ht="40.5" customHeight="1">
      <c r="A256" s="142"/>
      <c r="B256" s="158"/>
      <c r="C256" s="158"/>
      <c r="D256" s="158"/>
      <c r="E256" s="158"/>
      <c r="F256" s="158"/>
      <c r="G256" s="143"/>
      <c r="H256" s="160"/>
      <c r="I256" s="160"/>
    </row>
    <row r="257" spans="1:9" s="161" customFormat="1" ht="41.25" customHeight="1">
      <c r="A257" s="142"/>
      <c r="B257" s="158"/>
      <c r="C257" s="158"/>
      <c r="D257" s="158"/>
      <c r="E257" s="158"/>
      <c r="F257" s="158"/>
      <c r="G257" s="143"/>
      <c r="H257" s="160"/>
      <c r="I257" s="160"/>
    </row>
    <row r="258" spans="1:9" s="161" customFormat="1" ht="41.25" customHeight="1">
      <c r="A258" s="142"/>
      <c r="B258" s="158"/>
      <c r="C258" s="158"/>
      <c r="D258" s="158"/>
      <c r="E258" s="158"/>
      <c r="F258" s="158"/>
      <c r="G258" s="143"/>
      <c r="H258" s="160"/>
      <c r="I258" s="160"/>
    </row>
    <row r="259" spans="1:9" s="161" customFormat="1" ht="39" customHeight="1">
      <c r="A259" s="142"/>
      <c r="B259" s="158"/>
      <c r="C259" s="158"/>
      <c r="D259" s="158"/>
      <c r="E259" s="158"/>
      <c r="F259" s="158"/>
      <c r="G259" s="143"/>
      <c r="H259" s="160"/>
      <c r="I259" s="160"/>
    </row>
    <row r="260" spans="1:9" s="161" customFormat="1" ht="39.75" customHeight="1">
      <c r="A260" s="142"/>
      <c r="B260" s="158"/>
      <c r="C260" s="158"/>
      <c r="D260" s="158"/>
      <c r="E260" s="158"/>
      <c r="F260" s="158"/>
      <c r="G260" s="143"/>
      <c r="H260" s="160"/>
      <c r="I260" s="160"/>
    </row>
    <row r="261" spans="1:9" s="161" customFormat="1" ht="39" customHeight="1">
      <c r="A261" s="142"/>
      <c r="B261" s="158"/>
      <c r="C261" s="158"/>
      <c r="D261" s="158"/>
      <c r="E261" s="158"/>
      <c r="F261" s="158"/>
      <c r="G261" s="143"/>
      <c r="H261" s="160"/>
      <c r="I261" s="160"/>
    </row>
    <row r="262" spans="1:9" s="161" customFormat="1" ht="39.75" customHeight="1">
      <c r="A262" s="142"/>
      <c r="B262" s="158"/>
      <c r="C262" s="158"/>
      <c r="D262" s="158"/>
      <c r="E262" s="158"/>
      <c r="F262" s="158"/>
      <c r="G262" s="143"/>
      <c r="H262" s="160"/>
      <c r="I262" s="160"/>
    </row>
    <row r="263" spans="1:9" s="161" customFormat="1" ht="75.75" customHeight="1">
      <c r="A263" s="142"/>
      <c r="B263" s="158"/>
      <c r="C263" s="158"/>
      <c r="D263" s="158"/>
      <c r="E263" s="158"/>
      <c r="F263" s="158"/>
      <c r="G263" s="143"/>
      <c r="H263" s="160"/>
      <c r="I263" s="160"/>
    </row>
    <row r="264" spans="1:9" s="161" customFormat="1" ht="39.75" customHeight="1">
      <c r="A264" s="142"/>
      <c r="B264" s="158"/>
      <c r="C264" s="158"/>
      <c r="D264" s="158"/>
      <c r="E264" s="158"/>
      <c r="F264" s="158"/>
      <c r="G264" s="143"/>
      <c r="H264" s="160"/>
      <c r="I264" s="160"/>
    </row>
    <row r="265" spans="1:9" s="161" customFormat="1" ht="15.75">
      <c r="A265" s="142"/>
      <c r="B265" s="158"/>
      <c r="C265" s="158"/>
      <c r="D265" s="158"/>
      <c r="E265" s="158"/>
      <c r="F265" s="158"/>
      <c r="G265" s="143"/>
      <c r="H265" s="160"/>
      <c r="I265" s="160"/>
    </row>
    <row r="266" spans="1:9" s="161" customFormat="1" ht="39.75" customHeight="1">
      <c r="A266" s="142"/>
      <c r="B266" s="158"/>
      <c r="C266" s="158"/>
      <c r="D266" s="158"/>
      <c r="E266" s="158"/>
      <c r="F266" s="158"/>
      <c r="G266" s="143"/>
      <c r="H266" s="160"/>
      <c r="I266" s="160"/>
    </row>
    <row r="267" spans="1:9" s="161" customFormat="1" ht="40.5" customHeight="1">
      <c r="A267" s="142"/>
      <c r="B267" s="158"/>
      <c r="C267" s="158"/>
      <c r="D267" s="158"/>
      <c r="E267" s="158"/>
      <c r="F267" s="158"/>
      <c r="G267" s="143"/>
      <c r="H267" s="160"/>
      <c r="I267" s="160"/>
    </row>
    <row r="268" spans="1:9" s="161" customFormat="1" ht="41.25" customHeight="1">
      <c r="A268" s="142"/>
      <c r="B268" s="158"/>
      <c r="C268" s="158"/>
      <c r="D268" s="158"/>
      <c r="E268" s="158"/>
      <c r="F268" s="158"/>
      <c r="G268" s="143"/>
      <c r="H268" s="160"/>
      <c r="I268" s="160"/>
    </row>
    <row r="269" spans="1:9" s="161" customFormat="1" ht="23.25" customHeight="1">
      <c r="A269" s="142"/>
      <c r="B269" s="158"/>
      <c r="C269" s="158"/>
      <c r="D269" s="158"/>
      <c r="E269" s="158"/>
      <c r="F269" s="158"/>
      <c r="G269" s="143"/>
      <c r="H269" s="160"/>
      <c r="I269" s="160"/>
    </row>
    <row r="270" spans="1:9" s="161" customFormat="1" ht="38.25" customHeight="1">
      <c r="A270" s="142"/>
      <c r="B270" s="158"/>
      <c r="C270" s="158"/>
      <c r="D270" s="158"/>
      <c r="E270" s="158"/>
      <c r="F270" s="158"/>
      <c r="G270" s="143"/>
      <c r="H270" s="160"/>
      <c r="I270" s="160"/>
    </row>
    <row r="271" spans="1:9" s="161" customFormat="1" ht="25.5" customHeight="1">
      <c r="A271" s="142"/>
      <c r="B271" s="158"/>
      <c r="C271" s="158"/>
      <c r="D271" s="158"/>
      <c r="E271" s="158"/>
      <c r="F271" s="158"/>
      <c r="G271" s="143"/>
      <c r="H271" s="160"/>
      <c r="I271" s="160"/>
    </row>
    <row r="272" spans="1:9" s="161" customFormat="1" ht="57" customHeight="1">
      <c r="A272" s="142"/>
      <c r="B272" s="158"/>
      <c r="C272" s="158"/>
      <c r="D272" s="158"/>
      <c r="E272" s="158"/>
      <c r="F272" s="158"/>
      <c r="G272" s="143"/>
      <c r="H272" s="160"/>
      <c r="I272" s="160"/>
    </row>
    <row r="273" spans="1:9" s="161" customFormat="1" ht="25.5" customHeight="1">
      <c r="A273" s="142"/>
      <c r="B273" s="158"/>
      <c r="C273" s="158"/>
      <c r="D273" s="158"/>
      <c r="E273" s="158"/>
      <c r="F273" s="158"/>
      <c r="G273" s="143"/>
      <c r="H273" s="160"/>
      <c r="I273" s="160"/>
    </row>
    <row r="274" spans="1:9" s="161" customFormat="1" ht="61.5" customHeight="1">
      <c r="A274" s="142"/>
      <c r="B274" s="158"/>
      <c r="C274" s="158"/>
      <c r="D274" s="158"/>
      <c r="E274" s="158"/>
      <c r="F274" s="158"/>
      <c r="G274" s="143"/>
      <c r="H274" s="160"/>
      <c r="I274" s="160"/>
    </row>
    <row r="275" spans="1:9" s="161" customFormat="1" ht="44.25" customHeight="1">
      <c r="A275" s="142"/>
      <c r="B275" s="158"/>
      <c r="C275" s="158"/>
      <c r="D275" s="158"/>
      <c r="E275" s="158"/>
      <c r="F275" s="158"/>
      <c r="G275" s="143"/>
      <c r="H275" s="160"/>
      <c r="I275" s="160"/>
    </row>
    <row r="276" spans="1:9" s="161" customFormat="1" ht="44.25" customHeight="1">
      <c r="A276" s="142"/>
      <c r="B276" s="158"/>
      <c r="C276" s="158"/>
      <c r="D276" s="158"/>
      <c r="E276" s="158"/>
      <c r="F276" s="158"/>
      <c r="G276" s="143"/>
      <c r="H276" s="160"/>
      <c r="I276" s="160"/>
    </row>
    <row r="277" spans="1:9" s="161" customFormat="1" ht="44.25" customHeight="1">
      <c r="A277" s="142"/>
      <c r="B277" s="158"/>
      <c r="C277" s="158"/>
      <c r="D277" s="158"/>
      <c r="E277" s="158"/>
      <c r="F277" s="158"/>
      <c r="G277" s="143"/>
      <c r="H277" s="160"/>
      <c r="I277" s="160"/>
    </row>
    <row r="278" spans="1:9" s="168" customFormat="1" ht="18.75">
      <c r="A278" s="142"/>
      <c r="B278" s="158"/>
      <c r="C278" s="158"/>
      <c r="D278" s="158"/>
      <c r="E278" s="158"/>
      <c r="F278" s="158"/>
      <c r="G278" s="143"/>
      <c r="H278" s="145"/>
      <c r="I278" s="145"/>
    </row>
  </sheetData>
  <sheetProtection/>
  <mergeCells count="22">
    <mergeCell ref="G19:I19"/>
    <mergeCell ref="B12:I12"/>
    <mergeCell ref="B13:G13"/>
    <mergeCell ref="A19:A20"/>
    <mergeCell ref="B19:B20"/>
    <mergeCell ref="C19:C20"/>
    <mergeCell ref="D19:D20"/>
    <mergeCell ref="E19:E20"/>
    <mergeCell ref="F19:F20"/>
    <mergeCell ref="B10:I10"/>
    <mergeCell ref="B11:I11"/>
    <mergeCell ref="A15:I15"/>
    <mergeCell ref="A16:I16"/>
    <mergeCell ref="A17:I17"/>
    <mergeCell ref="H18:I18"/>
    <mergeCell ref="B2:I2"/>
    <mergeCell ref="B3:I3"/>
    <mergeCell ref="B5:I5"/>
    <mergeCell ref="B6:I6"/>
    <mergeCell ref="B8:I8"/>
    <mergeCell ref="B9:I9"/>
    <mergeCell ref="C4:I4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Богомолова</cp:lastModifiedBy>
  <cp:lastPrinted>2021-12-29T08:52:03Z</cp:lastPrinted>
  <dcterms:created xsi:type="dcterms:W3CDTF">1996-10-08T23:32:33Z</dcterms:created>
  <dcterms:modified xsi:type="dcterms:W3CDTF">2021-12-29T08:52:53Z</dcterms:modified>
  <cp:category/>
  <cp:version/>
  <cp:contentType/>
  <cp:contentStatus/>
</cp:coreProperties>
</file>